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825" yWindow="75" windowWidth="14430" windowHeight="1344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41" i="8"/>
  <c r="S92" i="15" l="1"/>
  <c r="P66"/>
  <c r="G66"/>
  <c r="P108" l="1"/>
  <c r="P106"/>
  <c r="S95" l="1"/>
  <c r="S25"/>
  <c r="F144" i="36"/>
  <c r="K159" l="1"/>
  <c r="B23" i="8" l="1"/>
  <c r="P115" i="15" l="1"/>
  <c r="P80"/>
  <c r="P71"/>
  <c r="P67"/>
  <c r="P65"/>
  <c r="P63"/>
  <c r="P62"/>
  <c r="P61"/>
  <c r="P60"/>
  <c r="P59"/>
  <c r="P55"/>
  <c r="P53"/>
  <c r="P52"/>
  <c r="P51"/>
  <c r="P49"/>
  <c r="P48"/>
  <c r="S19"/>
  <c r="P42"/>
  <c r="P35"/>
  <c r="P34"/>
  <c r="P30"/>
  <c r="M22"/>
  <c r="P14"/>
  <c r="P12"/>
  <c r="P10"/>
  <c r="P9"/>
  <c r="P8"/>
  <c r="S113" l="1"/>
  <c r="S112"/>
  <c r="S111"/>
  <c r="S101"/>
  <c r="S100"/>
  <c r="S90"/>
  <c r="S91"/>
  <c r="S93"/>
  <c r="S89"/>
  <c r="S79"/>
  <c r="S53"/>
  <c r="S52"/>
  <c r="S49"/>
  <c r="S48"/>
  <c r="F161" i="36"/>
  <c r="F157"/>
  <c r="F163"/>
  <c r="F160"/>
  <c r="F159"/>
  <c r="F142"/>
  <c r="S66" i="15"/>
  <c r="G63"/>
  <c r="G25"/>
  <c r="G30"/>
  <c r="G35"/>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100" i="8" l="1"/>
  <c r="P218" i="11"/>
  <c r="C70" i="8"/>
  <c r="C40"/>
  <c r="O273" i="11"/>
  <c r="P273"/>
  <c r="D40" i="8" l="1"/>
  <c r="D70"/>
  <c r="D100"/>
  <c r="M291" i="11"/>
  <c r="M6" s="1"/>
  <c r="L277"/>
  <c r="A265"/>
  <c r="P246"/>
  <c r="O246"/>
  <c r="L233"/>
  <c r="K221"/>
  <c r="O242" l="1"/>
  <c r="P242"/>
  <c r="O218"/>
  <c r="E100" i="8"/>
  <c r="E70"/>
  <c r="E40"/>
  <c r="O264" i="11"/>
  <c r="P264"/>
  <c r="L211"/>
  <c r="F40" i="8" l="1"/>
  <c r="F7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G100" l="1"/>
  <c r="G70"/>
  <c r="G40"/>
  <c r="B36"/>
  <c r="B53"/>
  <c r="D53"/>
  <c r="F53"/>
  <c r="H53"/>
  <c r="J53"/>
  <c r="C23"/>
  <c r="C53"/>
  <c r="E53"/>
  <c r="G53"/>
  <c r="I53"/>
  <c r="K53"/>
  <c r="Q16" i="3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B39" i="15"/>
  <c r="F42" s="1"/>
  <c r="J158"/>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c r="K20"/>
  <c r="L20" s="1"/>
  <c r="K21"/>
  <c r="L21"/>
  <c r="K22"/>
  <c r="L22" s="1"/>
  <c r="K23"/>
  <c r="L23"/>
  <c r="K24"/>
  <c r="L24" s="1"/>
  <c r="K25"/>
  <c r="L25"/>
  <c r="K26"/>
  <c r="L26" s="1"/>
  <c r="K27"/>
  <c r="L27"/>
  <c r="K28"/>
  <c r="L28" s="1"/>
  <c r="K29"/>
  <c r="L29"/>
  <c r="K30"/>
  <c r="L30" s="1"/>
  <c r="K31"/>
  <c r="L31"/>
  <c r="K32"/>
  <c r="L32" s="1"/>
  <c r="K33"/>
  <c r="L33"/>
  <c r="K34"/>
  <c r="L34" s="1"/>
  <c r="K35"/>
  <c r="L35"/>
  <c r="K36"/>
  <c r="L36" s="1"/>
  <c r="K37"/>
  <c r="L37"/>
  <c r="K38"/>
  <c r="L38" s="1"/>
  <c r="K39"/>
  <c r="L39"/>
  <c r="K40"/>
  <c r="L40" s="1"/>
  <c r="K41"/>
  <c r="L41"/>
  <c r="K42"/>
  <c r="L42" s="1"/>
  <c r="K43"/>
  <c r="L43"/>
  <c r="K44"/>
  <c r="L44" s="1"/>
  <c r="K45"/>
  <c r="L45"/>
  <c r="K46"/>
  <c r="L46" s="1"/>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28" i="8" l="1"/>
  <c r="D28" s="1"/>
  <c r="E28" s="1"/>
  <c r="F28" s="1"/>
  <c r="G28" s="1"/>
  <c r="H28" s="1"/>
  <c r="I28" s="1"/>
  <c r="J28" s="1"/>
  <c r="K28" s="1"/>
  <c r="B58" s="1"/>
  <c r="C58" s="1"/>
  <c r="D58" s="1"/>
  <c r="E58" s="1"/>
  <c r="F58" s="1"/>
  <c r="G58" s="1"/>
  <c r="H58" s="1"/>
  <c r="I58" s="1"/>
  <c r="K58" s="1"/>
  <c r="B88" s="1"/>
  <c r="C88" s="1"/>
  <c r="D88" s="1"/>
  <c r="E88" s="1"/>
  <c r="F88" s="1"/>
  <c r="G88" s="1"/>
  <c r="H88" s="1"/>
  <c r="I88" s="1"/>
  <c r="J88" s="1"/>
  <c r="K88" s="1"/>
  <c r="AO48" i="36"/>
  <c r="L59" s="1"/>
  <c r="AK48"/>
  <c r="H59" s="1"/>
  <c r="Y48"/>
  <c r="K56" s="1"/>
  <c r="W48"/>
  <c r="I56" s="1"/>
  <c r="AX48"/>
  <c r="K65" s="1"/>
  <c r="CV48"/>
  <c r="CS48"/>
  <c r="AV48"/>
  <c r="I65" s="1"/>
  <c r="BD48"/>
  <c r="L64" s="1"/>
  <c r="AZ48"/>
  <c r="H64" s="1"/>
  <c r="GI48"/>
  <c r="L87" s="1"/>
  <c r="AQ48"/>
  <c r="GG48"/>
  <c r="J87" s="1"/>
  <c r="AU48"/>
  <c r="H65" s="1"/>
  <c r="AY48"/>
  <c r="L65" s="1"/>
  <c r="BC48"/>
  <c r="K64" s="1"/>
  <c r="BB48"/>
  <c r="J64" s="1"/>
  <c r="K29" i="8"/>
  <c r="B17"/>
  <c r="G18"/>
  <c r="E17"/>
  <c r="K17"/>
  <c r="H17"/>
  <c r="D17"/>
  <c r="B18"/>
  <c r="J18"/>
  <c r="H18"/>
  <c r="F18"/>
  <c r="D18"/>
  <c r="J17"/>
  <c r="G17"/>
  <c r="C17"/>
  <c r="H84"/>
  <c r="D84"/>
  <c r="J54"/>
  <c r="F54"/>
  <c r="B54"/>
  <c r="H24"/>
  <c r="D24"/>
  <c r="B24"/>
  <c r="E84"/>
  <c r="K54"/>
  <c r="E24"/>
  <c r="K84"/>
  <c r="G84"/>
  <c r="C84"/>
  <c r="I54"/>
  <c r="E54"/>
  <c r="K24"/>
  <c r="G24"/>
  <c r="C24"/>
  <c r="G54"/>
  <c r="C54"/>
  <c r="I24"/>
  <c r="J84"/>
  <c r="F84"/>
  <c r="B84"/>
  <c r="H54"/>
  <c r="D54"/>
  <c r="J24"/>
  <c r="F24"/>
  <c r="I84"/>
  <c r="F17"/>
  <c r="K18"/>
  <c r="E18"/>
  <c r="J85"/>
  <c r="F85"/>
  <c r="B85"/>
  <c r="H55"/>
  <c r="D55"/>
  <c r="J25"/>
  <c r="F25"/>
  <c r="B25"/>
  <c r="G85"/>
  <c r="C85"/>
  <c r="E55"/>
  <c r="C25"/>
  <c r="I85"/>
  <c r="E85"/>
  <c r="K55"/>
  <c r="G55"/>
  <c r="C55"/>
  <c r="I25"/>
  <c r="E25"/>
  <c r="G25"/>
  <c r="H85"/>
  <c r="D85"/>
  <c r="J55"/>
  <c r="F55"/>
  <c r="B55"/>
  <c r="B63" s="1"/>
  <c r="H25"/>
  <c r="D25"/>
  <c r="K85"/>
  <c r="I55"/>
  <c r="K25"/>
  <c r="F107" i="15"/>
  <c r="AS48" i="36"/>
  <c r="AW48"/>
  <c r="J65" s="1"/>
  <c r="BA48"/>
  <c r="I64" s="1"/>
  <c r="L254" i="11"/>
  <c r="I17" i="8"/>
  <c r="I18"/>
  <c r="C18"/>
  <c r="H86"/>
  <c r="D86"/>
  <c r="J56"/>
  <c r="F56"/>
  <c r="B56"/>
  <c r="H26"/>
  <c r="D26"/>
  <c r="E86"/>
  <c r="G56"/>
  <c r="E26"/>
  <c r="K86"/>
  <c r="G86"/>
  <c r="C86"/>
  <c r="I56"/>
  <c r="E56"/>
  <c r="K26"/>
  <c r="G26"/>
  <c r="C26"/>
  <c r="C56"/>
  <c r="I26"/>
  <c r="J86"/>
  <c r="F86"/>
  <c r="B86"/>
  <c r="H56"/>
  <c r="D56"/>
  <c r="J26"/>
  <c r="F26"/>
  <c r="B26"/>
  <c r="I86"/>
  <c r="K56"/>
  <c r="F34" i="15"/>
  <c r="C36" i="8"/>
  <c r="CT48" i="36"/>
  <c r="AM48"/>
  <c r="J59" s="1"/>
  <c r="Z48"/>
  <c r="L56" s="1"/>
  <c r="X48"/>
  <c r="J56" s="1"/>
  <c r="V48"/>
  <c r="H56" s="1"/>
  <c r="CU48"/>
  <c r="CW48"/>
  <c r="FH48"/>
  <c r="J92" s="1"/>
  <c r="EX48"/>
  <c r="FN48"/>
  <c r="K91" s="1"/>
  <c r="FT48"/>
  <c r="L90" s="1"/>
  <c r="FP48"/>
  <c r="H90" s="1"/>
  <c r="FY48"/>
  <c r="L85" s="1"/>
  <c r="FB48"/>
  <c r="I89" s="1"/>
  <c r="GH48"/>
  <c r="K87" s="1"/>
  <c r="GF48"/>
  <c r="I87" s="1"/>
  <c r="GS48"/>
  <c r="GO48"/>
  <c r="HL48"/>
  <c r="GZ48"/>
  <c r="BG48"/>
  <c r="BY48"/>
  <c r="H94" s="1"/>
  <c r="AN48"/>
  <c r="K59" s="1"/>
  <c r="AL48"/>
  <c r="I59" s="1"/>
  <c r="AE48"/>
  <c r="L57" s="1"/>
  <c r="AD48"/>
  <c r="K57" s="1"/>
  <c r="AC48"/>
  <c r="J57" s="1"/>
  <c r="AB48"/>
  <c r="I57" s="1"/>
  <c r="AA48"/>
  <c r="H57" s="1"/>
  <c r="HF48"/>
  <c r="AT48"/>
  <c r="AR48"/>
  <c r="AP48"/>
  <c r="I29" i="8"/>
  <c r="M123" i="15"/>
  <c r="M140" s="1"/>
  <c r="M142" s="1"/>
  <c r="M144" s="1"/>
  <c r="J29" i="8"/>
  <c r="H29"/>
  <c r="J154" i="15"/>
  <c r="J155" s="1"/>
  <c r="J157" s="1"/>
  <c r="J159" s="1"/>
  <c r="F106"/>
  <c r="C109"/>
  <c r="F108"/>
  <c r="H40" i="8"/>
  <c r="H70"/>
  <c r="H10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D23" i="8"/>
  <c r="F23"/>
  <c r="J23"/>
  <c r="E23"/>
  <c r="G23"/>
  <c r="I23"/>
  <c r="K23"/>
  <c r="GN48" i="36"/>
  <c r="L88" s="1"/>
  <c r="GL48"/>
  <c r="J88" s="1"/>
  <c r="GJ48"/>
  <c r="H88" s="1"/>
  <c r="GD48"/>
  <c r="L86" s="1"/>
  <c r="GB48"/>
  <c r="J86" s="1"/>
  <c r="FZ48"/>
  <c r="H86" s="1"/>
  <c r="FX48"/>
  <c r="K85" s="1"/>
  <c r="FV48"/>
  <c r="I85" s="1"/>
  <c r="FO48"/>
  <c r="L91" s="1"/>
  <c r="FM48"/>
  <c r="J91" s="1"/>
  <c r="FI48"/>
  <c r="K92" s="1"/>
  <c r="FG48"/>
  <c r="I92" s="1"/>
  <c r="E33" i="15"/>
  <c r="B59"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J63" i="8" l="1"/>
  <c r="B33"/>
  <c r="K92"/>
  <c r="F62"/>
  <c r="B32"/>
  <c r="H66" i="36"/>
  <c r="I58"/>
  <c r="I60" s="1"/>
  <c r="I62" s="1"/>
  <c r="K58"/>
  <c r="K60" s="1"/>
  <c r="K62" s="1"/>
  <c r="K66"/>
  <c r="L66"/>
  <c r="M87"/>
  <c r="J66"/>
  <c r="H70"/>
  <c r="I84"/>
  <c r="M64"/>
  <c r="M89"/>
  <c r="Q89" s="1"/>
  <c r="I66"/>
  <c r="M90"/>
  <c r="Q90" s="1"/>
  <c r="M65"/>
  <c r="J58"/>
  <c r="J60" s="1"/>
  <c r="J62" s="1"/>
  <c r="M57"/>
  <c r="L58"/>
  <c r="L60" s="1"/>
  <c r="L62" s="1"/>
  <c r="H58"/>
  <c r="H60" s="1"/>
  <c r="H62" s="1"/>
  <c r="H74"/>
  <c r="F63" i="8"/>
  <c r="M56" i="36"/>
  <c r="D63" i="8"/>
  <c r="H33"/>
  <c r="D93"/>
  <c r="H32"/>
  <c r="D92"/>
  <c r="D36"/>
  <c r="E36" s="1"/>
  <c r="F36" s="1"/>
  <c r="G36" s="1"/>
  <c r="H36" s="1"/>
  <c r="I36" s="1"/>
  <c r="J36" s="1"/>
  <c r="K36" s="1"/>
  <c r="M99" i="36"/>
  <c r="M79"/>
  <c r="Q79" s="1"/>
  <c r="M59"/>
  <c r="M61"/>
  <c r="M91"/>
  <c r="Q91" s="1"/>
  <c r="M72"/>
  <c r="Q72" s="1"/>
  <c r="K80"/>
  <c r="I77"/>
  <c r="K77"/>
  <c r="J70"/>
  <c r="L70"/>
  <c r="I80"/>
  <c r="M75"/>
  <c r="Q75" s="1"/>
  <c r="M76"/>
  <c r="Q76" s="1"/>
  <c r="L77"/>
  <c r="M78"/>
  <c r="Q78" s="1"/>
  <c r="K70"/>
  <c r="J80"/>
  <c r="L80"/>
  <c r="J77"/>
  <c r="M69"/>
  <c r="Q69" s="1"/>
  <c r="M73"/>
  <c r="Q73" s="1"/>
  <c r="J282" i="11"/>
  <c r="I100" i="8"/>
  <c r="I70"/>
  <c r="I40"/>
  <c r="F33"/>
  <c r="I70" i="36"/>
  <c r="B14" i="8"/>
  <c r="H80" i="36"/>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D74" i="8" l="1"/>
  <c r="H14"/>
  <c r="Q65" i="36"/>
  <c r="M66"/>
  <c r="Q66" s="1"/>
  <c r="Q64"/>
  <c r="I51" i="7"/>
  <c r="P52"/>
  <c r="Q99" i="36"/>
  <c r="Q61"/>
  <c r="I50" i="7"/>
  <c r="M60" i="36"/>
  <c r="M58"/>
  <c r="Q58" s="1"/>
  <c r="H50" i="7"/>
  <c r="Q57" i="36"/>
  <c r="H51" i="7"/>
  <c r="Q56" i="36"/>
  <c r="E74" i="8"/>
  <c r="K14"/>
  <c r="F44"/>
  <c r="L214" i="11"/>
  <c r="I44" i="8"/>
  <c r="F74"/>
  <c r="H54" i="7"/>
  <c r="Q13" i="36"/>
  <c r="Q14"/>
  <c r="Q15"/>
  <c r="Q10"/>
  <c r="Q11"/>
  <c r="Q12"/>
  <c r="D14" i="8"/>
  <c r="B44"/>
  <c r="B74"/>
  <c r="G14"/>
  <c r="J44"/>
  <c r="Q59" i="36"/>
  <c r="M84"/>
  <c r="Q84" s="1"/>
  <c r="H52" i="7"/>
  <c r="Q97" i="36"/>
  <c r="M77"/>
  <c r="F44" i="7" s="1"/>
  <c r="M80" i="36"/>
  <c r="M70"/>
  <c r="Q70" s="1"/>
  <c r="C41" i="8"/>
  <c r="J40"/>
  <c r="J70"/>
  <c r="J100"/>
  <c r="O201" i="11"/>
  <c r="E44" i="8"/>
  <c r="I74"/>
  <c r="C14"/>
  <c r="J74"/>
  <c r="O104" i="36"/>
  <c r="J14" i="8"/>
  <c r="C44"/>
  <c r="K44"/>
  <c r="G74"/>
  <c r="B15"/>
  <c r="K75" s="1"/>
  <c r="E14"/>
  <c r="H44"/>
  <c r="H74"/>
  <c r="P50" i="7"/>
  <c r="F14" i="8"/>
  <c r="G44"/>
  <c r="C74"/>
  <c r="K74"/>
  <c r="I14"/>
  <c r="D44"/>
  <c r="O41" i="3"/>
  <c r="O43" s="1"/>
  <c r="H51"/>
  <c r="M74" i="36"/>
  <c r="M62"/>
  <c r="R13" i="24"/>
  <c r="R11"/>
  <c r="D125" i="15" s="1"/>
  <c r="R12" i="24"/>
  <c r="M96" i="36"/>
  <c r="H98"/>
  <c r="P141" i="7" l="1"/>
  <c r="L32" i="11"/>
  <c r="Q60" i="36"/>
  <c r="L31" i="11"/>
  <c r="P140" i="7"/>
  <c r="H49"/>
  <c r="H53" s="1"/>
  <c r="H55" s="1"/>
  <c r="Q80" i="36"/>
  <c r="P201" i="11"/>
  <c r="B75" i="8"/>
  <c r="B76" s="1"/>
  <c r="F45"/>
  <c r="F46" s="1"/>
  <c r="K15"/>
  <c r="K16" s="1"/>
  <c r="J15"/>
  <c r="J16" s="1"/>
  <c r="K45"/>
  <c r="K46" s="1"/>
  <c r="G15"/>
  <c r="G16" s="1"/>
  <c r="F75"/>
  <c r="F76" s="1"/>
  <c r="C45"/>
  <c r="C46" s="1"/>
  <c r="E75"/>
  <c r="E76" s="1"/>
  <c r="I15"/>
  <c r="I16" s="1"/>
  <c r="D45"/>
  <c r="D46" s="1"/>
  <c r="J45"/>
  <c r="J46" s="1"/>
  <c r="J75"/>
  <c r="J76" s="1"/>
  <c r="D15"/>
  <c r="D16" s="1"/>
  <c r="E45"/>
  <c r="E46" s="1"/>
  <c r="B45"/>
  <c r="B46" s="1"/>
  <c r="I75"/>
  <c r="I76" s="1"/>
  <c r="F45" i="7"/>
  <c r="Q77" i="36"/>
  <c r="D41" i="8"/>
  <c r="O193" i="11"/>
  <c r="K100" i="8"/>
  <c r="K70"/>
  <c r="K40"/>
  <c r="C15"/>
  <c r="C16" s="1"/>
  <c r="D75"/>
  <c r="D76" s="1"/>
  <c r="H15"/>
  <c r="H16" s="1"/>
  <c r="I45"/>
  <c r="I46" s="1"/>
  <c r="G75"/>
  <c r="G76" s="1"/>
  <c r="J177" i="11"/>
  <c r="L177" s="1"/>
  <c r="E93" i="15"/>
  <c r="B16" i="8"/>
  <c r="E15"/>
  <c r="E16" s="1"/>
  <c r="H45"/>
  <c r="H46" s="1"/>
  <c r="H75"/>
  <c r="H76" s="1"/>
  <c r="F15"/>
  <c r="F16" s="1"/>
  <c r="G45"/>
  <c r="G46" s="1"/>
  <c r="C75"/>
  <c r="C76" s="1"/>
  <c r="F42" i="7"/>
  <c r="Q74" i="36"/>
  <c r="K76" i="8"/>
  <c r="K80" s="1"/>
  <c r="J158" i="36"/>
  <c r="J157"/>
  <c r="P71" i="7"/>
  <c r="P69"/>
  <c r="Q62" i="36"/>
  <c r="G125" i="15"/>
  <c r="J159" i="36"/>
  <c r="P67" i="7"/>
  <c r="F115" i="15"/>
  <c r="P160" i="36"/>
  <c r="D38" i="15"/>
  <c r="M98" i="36"/>
  <c r="Q98" s="1"/>
  <c r="H100"/>
  <c r="M100" s="1"/>
  <c r="P49" i="7"/>
  <c r="P51" s="1"/>
  <c r="P53" s="1"/>
  <c r="P58" s="1"/>
  <c r="Q96" i="36"/>
  <c r="H50" i="8" l="1"/>
  <c r="G20"/>
  <c r="F20"/>
  <c r="J80"/>
  <c r="E80"/>
  <c r="D80"/>
  <c r="J20"/>
  <c r="C80"/>
  <c r="G50"/>
  <c r="H20"/>
  <c r="F80"/>
  <c r="E20"/>
  <c r="B20"/>
  <c r="K7" s="1"/>
  <c r="J50"/>
  <c r="K6"/>
  <c r="C50"/>
  <c r="E50"/>
  <c r="H80"/>
  <c r="K50"/>
  <c r="I20"/>
  <c r="G80"/>
  <c r="D50"/>
  <c r="B50"/>
  <c r="C20"/>
  <c r="I50"/>
  <c r="D20"/>
  <c r="K20"/>
  <c r="I80"/>
  <c r="F50"/>
  <c r="B80"/>
  <c r="P193" i="11"/>
  <c r="J145" i="15"/>
  <c r="J146" s="1"/>
  <c r="J148" s="1"/>
  <c r="O30" i="11"/>
  <c r="P30"/>
  <c r="E41" i="8"/>
  <c r="K5"/>
  <c r="P145" i="15"/>
  <c r="P146" s="1"/>
  <c r="P148" s="1"/>
  <c r="M145"/>
  <c r="M146" s="1"/>
  <c r="M148" s="1"/>
  <c r="J152"/>
  <c r="M151"/>
  <c r="B21" i="8"/>
  <c r="Q100" i="36"/>
  <c r="Q53" s="1"/>
  <c r="D39" i="15"/>
  <c r="M125"/>
  <c r="P147" i="36" l="1"/>
  <c r="P291" i="11"/>
  <c r="P6" s="1"/>
  <c r="O291"/>
  <c r="O292" s="1"/>
  <c r="R30"/>
  <c r="L30"/>
  <c r="F41" i="8"/>
  <c r="J149" i="15"/>
  <c r="J161" s="1"/>
  <c r="B81" i="8"/>
  <c r="J81"/>
  <c r="H81"/>
  <c r="F81"/>
  <c r="D81"/>
  <c r="C81"/>
  <c r="K51"/>
  <c r="I51"/>
  <c r="G51"/>
  <c r="E51"/>
  <c r="C51"/>
  <c r="D21"/>
  <c r="F21"/>
  <c r="H21"/>
  <c r="J21"/>
  <c r="K81"/>
  <c r="G81"/>
  <c r="J51"/>
  <c r="F51"/>
  <c r="E21"/>
  <c r="I81"/>
  <c r="E81"/>
  <c r="B51"/>
  <c r="H51"/>
  <c r="D51"/>
  <c r="C21"/>
  <c r="G21"/>
  <c r="I21"/>
  <c r="K21"/>
  <c r="P157" i="36" l="1"/>
  <c r="N148"/>
  <c r="N149"/>
  <c r="P292" i="11"/>
  <c r="O6"/>
  <c r="B31" i="8"/>
  <c r="M163" i="15"/>
  <c r="J165"/>
  <c r="J40" i="3" s="1"/>
  <c r="L40" s="1"/>
  <c r="G41" i="8"/>
  <c r="B19" l="1"/>
  <c r="N157" i="36"/>
  <c r="P165"/>
  <c r="J6" i="7"/>
  <c r="F31" i="8"/>
  <c r="D31"/>
  <c r="E31"/>
  <c r="G31"/>
  <c r="C31"/>
  <c r="E92" i="15"/>
  <c r="J41" i="3"/>
  <c r="L41" s="1"/>
  <c r="H41" i="8"/>
  <c r="G19" l="1"/>
  <c r="H79"/>
  <c r="H19"/>
  <c r="C49"/>
  <c r="I49"/>
  <c r="C79"/>
  <c r="J19"/>
  <c r="K19"/>
  <c r="E19"/>
  <c r="F49"/>
  <c r="D79"/>
  <c r="J79"/>
  <c r="F19"/>
  <c r="F79"/>
  <c r="I79"/>
  <c r="E79"/>
  <c r="K79"/>
  <c r="E49"/>
  <c r="J49"/>
  <c r="I19"/>
  <c r="C19"/>
  <c r="H49"/>
  <c r="K49"/>
  <c r="D49"/>
  <c r="D19"/>
  <c r="G49"/>
  <c r="B49"/>
  <c r="G79"/>
  <c r="B79"/>
  <c r="B35"/>
  <c r="B22"/>
  <c r="B30" s="1"/>
  <c r="I41"/>
  <c r="D65" l="1"/>
  <c r="D52"/>
  <c r="D61" s="1"/>
  <c r="E22"/>
  <c r="E30" s="1"/>
  <c r="E35"/>
  <c r="B82"/>
  <c r="B91" s="1"/>
  <c r="B95"/>
  <c r="D35"/>
  <c r="D22"/>
  <c r="D30" s="1"/>
  <c r="H52"/>
  <c r="H61" s="1"/>
  <c r="H65"/>
  <c r="E65"/>
  <c r="E52"/>
  <c r="E61" s="1"/>
  <c r="F82"/>
  <c r="F91" s="1"/>
  <c r="F95"/>
  <c r="F52"/>
  <c r="F61" s="1"/>
  <c r="F65"/>
  <c r="C82"/>
  <c r="C91" s="1"/>
  <c r="C95"/>
  <c r="H82"/>
  <c r="H91" s="1"/>
  <c r="H95"/>
  <c r="G95"/>
  <c r="G82"/>
  <c r="G91" s="1"/>
  <c r="K82"/>
  <c r="K91" s="1"/>
  <c r="K95"/>
  <c r="F22"/>
  <c r="F30" s="1"/>
  <c r="F35"/>
  <c r="I52"/>
  <c r="I61" s="1"/>
  <c r="I65"/>
  <c r="G35"/>
  <c r="G22"/>
  <c r="G30" s="1"/>
  <c r="G65"/>
  <c r="G52"/>
  <c r="G61" s="1"/>
  <c r="J52"/>
  <c r="J61" s="1"/>
  <c r="J65"/>
  <c r="I82"/>
  <c r="I91" s="1"/>
  <c r="I95"/>
  <c r="D82"/>
  <c r="D91" s="1"/>
  <c r="D95"/>
  <c r="J35"/>
  <c r="J22"/>
  <c r="H22"/>
  <c r="H35"/>
  <c r="C35"/>
  <c r="C22"/>
  <c r="C30" s="1"/>
  <c r="B52"/>
  <c r="B61" s="1"/>
  <c r="B65"/>
  <c r="K52"/>
  <c r="K61" s="1"/>
  <c r="K65"/>
  <c r="I35"/>
  <c r="I22"/>
  <c r="E95"/>
  <c r="E82"/>
  <c r="E91" s="1"/>
  <c r="J95"/>
  <c r="J82"/>
  <c r="J91" s="1"/>
  <c r="K22"/>
  <c r="K31" s="1"/>
  <c r="K35"/>
  <c r="C65"/>
  <c r="C52"/>
  <c r="C61" s="1"/>
  <c r="J41"/>
  <c r="I31" l="1"/>
  <c r="I30"/>
  <c r="J31"/>
  <c r="J30"/>
  <c r="K30"/>
  <c r="H31"/>
  <c r="H30"/>
  <c r="K41"/>
  <c r="B60"/>
  <c r="B71" l="1"/>
  <c r="B66"/>
  <c r="C60"/>
  <c r="C71" l="1"/>
  <c r="C66"/>
  <c r="D60"/>
  <c r="D71" l="1"/>
  <c r="D66"/>
  <c r="E60"/>
  <c r="E71" l="1"/>
  <c r="E66"/>
  <c r="F60"/>
  <c r="F71" l="1"/>
  <c r="F66"/>
  <c r="G60"/>
  <c r="G71" l="1"/>
  <c r="G66"/>
  <c r="H60"/>
  <c r="H71" l="1"/>
  <c r="H66"/>
  <c r="I60"/>
  <c r="I71" l="1"/>
  <c r="I66"/>
  <c r="J60"/>
  <c r="J71" l="1"/>
  <c r="J66"/>
  <c r="K60"/>
  <c r="K71" l="1"/>
  <c r="K66"/>
  <c r="B90"/>
  <c r="B101" l="1"/>
  <c r="B96"/>
  <c r="C90"/>
  <c r="C101" l="1"/>
  <c r="C96"/>
  <c r="D90"/>
  <c r="D101" l="1"/>
  <c r="D96"/>
  <c r="E90"/>
  <c r="E101" l="1"/>
  <c r="E96"/>
  <c r="F90"/>
  <c r="F101" l="1"/>
  <c r="F96"/>
  <c r="G90"/>
  <c r="G101" l="1"/>
  <c r="G96"/>
  <c r="H90"/>
  <c r="H101" l="1"/>
  <c r="H96"/>
  <c r="I90"/>
  <c r="I101" l="1"/>
  <c r="I96"/>
  <c r="J90"/>
  <c r="J101" l="1"/>
  <c r="J96"/>
  <c r="K90"/>
  <c r="K101" l="1"/>
  <c r="K96"/>
</calcChain>
</file>

<file path=xl/sharedStrings.xml><?xml version="1.0" encoding="utf-8"?>
<sst xmlns="http://schemas.openxmlformats.org/spreadsheetml/2006/main" count="7948" uniqueCount="4107">
  <si>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</si>
  <si>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</si>
  <si>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</si>
  <si>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</si>
  <si>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</si>
  <si>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</si>
  <si>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</si>
  <si>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</si>
  <si>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</si>
  <si>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</si>
  <si>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</si>
  <si>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</si>
  <si>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</si>
  <si>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</si>
  <si>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</si>
  <si>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</si>
  <si>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</si>
  <si>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</si>
  <si>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</si>
  <si>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</si>
  <si>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</si>
  <si>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</si>
  <si>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</si>
  <si>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</si>
  <si>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</si>
  <si>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</si>
  <si>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</si>
  <si>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</si>
  <si>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</si>
  <si>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</si>
  <si>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</si>
  <si>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</si>
  <si>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</si>
  <si>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</si>
  <si>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</si>
  <si>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</si>
  <si>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</si>
  <si>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</si>
  <si>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</si>
  <si>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</si>
  <si>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</si>
  <si>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</si>
  <si>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</si>
  <si>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</si>
  <si>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</si>
  <si>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</si>
  <si>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</si>
  <si>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</si>
  <si>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</si>
  <si>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</si>
  <si>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</si>
  <si>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</si>
  <si>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</si>
  <si>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</si>
  <si>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</si>
  <si>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</si>
  <si>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</si>
  <si>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</si>
  <si>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</si>
  <si>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</si>
  <si>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</si>
  <si>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</si>
  <si>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</si>
  <si>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</si>
  <si>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</si>
  <si>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</si>
  <si>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</si>
  <si>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</si>
  <si>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</si>
  <si>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</si>
  <si>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</si>
  <si>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</si>
  <si>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</si>
  <si>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</si>
  <si>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</si>
  <si>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</si>
  <si>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</si>
  <si>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</si>
  <si>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</si>
  <si>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</si>
  <si>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</si>
  <si>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</si>
  <si>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</si>
  <si>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</si>
  <si>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</si>
  <si>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</si>
  <si>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</si>
  <si>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</si>
  <si>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</si>
  <si>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</si>
  <si>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</si>
  <si>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</si>
  <si>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</si>
  <si>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</si>
  <si>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</si>
  <si>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</si>
  <si>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</si>
  <si>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</si>
  <si>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</si>
  <si>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</si>
  <si>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</si>
  <si>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</si>
  <si>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</si>
  <si>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</si>
  <si>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</si>
  <si>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</si>
  <si>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</si>
  <si>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</si>
  <si>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</si>
  <si>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</si>
  <si>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</si>
  <si>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</si>
  <si>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</si>
  <si>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</si>
  <si>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</si>
  <si>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</si>
  <si>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</si>
  <si>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</si>
  <si>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</si>
  <si>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</si>
  <si>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</si>
  <si>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</si>
  <si>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</si>
  <si>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</si>
  <si>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</si>
  <si>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</si>
  <si>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</si>
  <si>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</si>
  <si>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</si>
  <si>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</si>
  <si>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</si>
  <si>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</si>
  <si>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</si>
  <si>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</si>
  <si>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</si>
  <si>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</si>
  <si>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</si>
  <si>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</si>
  <si>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</si>
  <si>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</si>
  <si>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</si>
  <si>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</si>
  <si>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</si>
  <si>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</si>
  <si>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</si>
  <si>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</si>
  <si>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</si>
  <si>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</si>
  <si>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</si>
  <si>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</si>
  <si>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</si>
  <si>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</si>
  <si>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</si>
  <si>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</si>
  <si>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</si>
  <si>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</si>
  <si>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</si>
  <si>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</si>
  <si>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</si>
  <si>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</si>
  <si>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</si>
  <si>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</si>
  <si>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</si>
  <si>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</si>
  <si>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</si>
  <si>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</si>
  <si>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</si>
  <si>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</si>
  <si>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</si>
  <si>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</si>
  <si>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</si>
  <si>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</si>
  <si>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</si>
  <si>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</si>
  <si>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</si>
  <si>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</si>
  <si>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</si>
  <si>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</si>
  <si>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</si>
  <si>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</si>
  <si>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</si>
  <si>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</si>
  <si>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</si>
  <si>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</si>
  <si>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</si>
  <si>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</si>
  <si>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</si>
  <si>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</si>
  <si>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</si>
  <si>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</si>
  <si>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</si>
  <si>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</si>
  <si>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</si>
  <si>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</si>
  <si>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</si>
  <si>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</si>
  <si>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</si>
  <si>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</si>
  <si>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</si>
  <si>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</si>
  <si>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</si>
  <si>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</si>
  <si>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</si>
  <si>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</si>
  <si>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</si>
  <si>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</si>
  <si>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</si>
  <si>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</si>
  <si>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</si>
  <si>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</si>
  <si>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</si>
  <si>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</si>
  <si>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</si>
  <si>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</si>
  <si>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</si>
  <si>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</si>
  <si>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</si>
  <si>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</si>
  <si>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</si>
  <si>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</si>
  <si>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</si>
  <si>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</si>
  <si>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</si>
  <si>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</si>
  <si>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</si>
  <si>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</si>
  <si>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</si>
  <si>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</si>
  <si>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</si>
  <si>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</si>
  <si>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</si>
  <si>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</si>
  <si>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</si>
  <si>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</si>
  <si>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</si>
  <si>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</si>
  <si>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</si>
  <si>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</si>
  <si>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</si>
  <si>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</si>
  <si>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</si>
  <si>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</si>
  <si>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</si>
  <si>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</si>
  <si>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</si>
  <si>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</si>
  <si>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</si>
  <si>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</si>
  <si>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</si>
  <si>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</si>
  <si>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</si>
  <si>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</si>
  <si>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</si>
  <si>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</si>
  <si>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</si>
  <si>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</si>
  <si>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</si>
  <si>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</si>
  <si>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</si>
  <si>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</si>
  <si>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</si>
  <si>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</si>
  <si>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</si>
  <si>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</si>
  <si>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</si>
  <si>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</si>
  <si>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</si>
  <si>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</si>
  <si>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</si>
  <si>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</si>
  <si>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</si>
  <si>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</si>
  <si>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</si>
  <si>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</si>
  <si>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</si>
  <si>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</si>
  <si>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</si>
  <si>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</si>
  <si>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</si>
  <si>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</si>
  <si>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</si>
  <si>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</si>
  <si>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</si>
  <si>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</si>
  <si>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</si>
  <si>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</si>
  <si>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</si>
  <si>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</si>
  <si>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</si>
  <si>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</si>
  <si>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</si>
  <si>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</si>
  <si>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</si>
  <si>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</si>
  <si>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</si>
  <si>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</si>
  <si>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</si>
  <si>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</si>
  <si>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</si>
  <si>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</si>
  <si>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</si>
  <si>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</si>
  <si>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</si>
  <si>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</si>
  <si>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</si>
  <si>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</si>
  <si>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</si>
  <si>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</si>
  <si>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</si>
  <si>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</si>
  <si>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</si>
  <si>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</si>
  <si>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</si>
  <si>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</si>
  <si>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</si>
  <si>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</si>
  <si>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</si>
  <si>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</si>
  <si>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</si>
  <si>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</si>
  <si>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</si>
  <si>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</si>
  <si>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</si>
  <si>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</si>
  <si>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</si>
  <si>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</si>
  <si>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</si>
  <si>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</si>
  <si>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</si>
  <si>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</si>
  <si>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</si>
  <si>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</si>
  <si>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</si>
  <si>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</si>
  <si>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</si>
  <si>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</si>
  <si>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</si>
  <si>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</si>
  <si>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</si>
  <si>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</si>
  <si>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</si>
  <si>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</si>
  <si>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</si>
  <si>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</si>
  <si>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</si>
  <si>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</si>
  <si>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</si>
  <si>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</si>
  <si>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</si>
  <si>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</si>
  <si>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</si>
  <si>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</si>
  <si>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</si>
  <si>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</si>
  <si>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</si>
  <si>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</si>
  <si>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</si>
  <si>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</si>
  <si>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</si>
  <si>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</si>
  <si>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</si>
  <si>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</si>
  <si>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</si>
  <si>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</si>
  <si>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</si>
  <si>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</si>
  <si>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</si>
  <si>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</si>
  <si>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</si>
  <si>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</si>
  <si>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</si>
  <si>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</si>
  <si>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</si>
  <si>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</si>
  <si>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</si>
  <si>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</si>
  <si>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</si>
  <si>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</si>
  <si>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</si>
  <si>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</si>
  <si>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</si>
  <si>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</si>
  <si>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</si>
  <si>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</si>
  <si>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</si>
  <si>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</si>
  <si>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</si>
  <si>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</si>
  <si>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</si>
  <si>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</si>
  <si>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</si>
  <si>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</si>
  <si>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</si>
  <si>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</si>
  <si>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</si>
  <si>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</si>
  <si>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</si>
  <si>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</si>
  <si>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</si>
  <si>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</si>
  <si>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</si>
  <si>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</si>
  <si>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</si>
  <si>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</si>
  <si>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</si>
  <si>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</si>
  <si>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</si>
  <si>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</si>
  <si>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</si>
  <si>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</si>
  <si>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</si>
  <si>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</si>
  <si>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</si>
  <si>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</si>
  <si>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</si>
  <si>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</si>
  <si>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</si>
  <si>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</si>
  <si>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</si>
  <si>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</si>
  <si>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</si>
  <si>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</si>
  <si>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</si>
  <si>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</si>
  <si>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</si>
  <si>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</si>
  <si>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</si>
  <si>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</si>
  <si>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</si>
  <si>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</si>
  <si>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</si>
  <si>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</si>
  <si>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</si>
  <si>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</si>
  <si>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</si>
  <si>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</si>
  <si>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</si>
  <si>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</si>
  <si>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</si>
  <si>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</si>
  <si>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</si>
  <si>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</si>
  <si>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</si>
  <si>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</si>
  <si>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</si>
  <si>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</si>
  <si>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</si>
  <si>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</si>
  <si>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</si>
  <si>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</si>
  <si>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</si>
  <si>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</si>
  <si>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</si>
  <si>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</si>
  <si>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</si>
  <si>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</si>
  <si>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</si>
  <si>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</si>
  <si>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</si>
  <si>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</si>
  <si>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</si>
  <si>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</si>
  <si>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</si>
  <si>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</si>
  <si>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</si>
  <si>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</si>
  <si>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</si>
  <si>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</si>
  <si>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</si>
  <si>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</si>
  <si>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</si>
  <si>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</si>
  <si>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</si>
  <si>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</si>
  <si>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</si>
  <si>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</si>
  <si>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</si>
  <si>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</si>
  <si>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</si>
  <si>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</si>
  <si>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</si>
  <si>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</si>
  <si>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</si>
  <si>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</si>
  <si>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</si>
  <si>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</si>
  <si>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</si>
  <si>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</si>
  <si>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</si>
  <si>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</si>
  <si>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</si>
  <si>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</si>
  <si>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</si>
  <si>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</si>
  <si>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</si>
  <si>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</si>
  <si>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</si>
  <si>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</si>
  <si>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</si>
  <si>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</si>
  <si>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</si>
  <si>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</si>
  <si>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</si>
  <si>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</si>
  <si>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</si>
  <si>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</si>
  <si>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</si>
  <si>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</si>
  <si>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</si>
  <si>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</si>
  <si>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</si>
  <si>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</si>
  <si>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</si>
  <si>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</si>
  <si>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</si>
  <si>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</si>
  <si>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</si>
  <si>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</si>
  <si>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</si>
  <si>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</si>
  <si>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</si>
  <si>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</si>
  <si>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</si>
  <si>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</si>
  <si>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</si>
  <si>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</si>
  <si>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</si>
  <si>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</si>
  <si>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</si>
  <si>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</si>
  <si>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</si>
  <si>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</si>
  <si>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</si>
  <si>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</si>
  <si>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</si>
  <si>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</si>
  <si>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</si>
  <si>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</si>
  <si>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</si>
  <si>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</si>
  <si>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</si>
  <si>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</si>
  <si>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</si>
  <si>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</si>
  <si>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</si>
  <si>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</si>
  <si>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</si>
  <si>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</si>
  <si>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</si>
  <si>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</si>
  <si>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</si>
  <si>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</si>
  <si>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</si>
  <si>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</si>
  <si>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</si>
  <si>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</si>
  <si>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</si>
  <si>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</si>
  <si>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</si>
  <si>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</si>
  <si>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</si>
  <si>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</si>
  <si>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</si>
  <si>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</si>
  <si>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</si>
  <si>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</si>
  <si>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</si>
  <si>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</si>
  <si>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</si>
  <si>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</si>
  <si>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</si>
  <si>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</si>
  <si>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</si>
  <si>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</si>
  <si>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</si>
  <si>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</si>
  <si>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</si>
  <si>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</si>
  <si>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</si>
  <si>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</si>
  <si>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</si>
  <si>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</si>
  <si>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</si>
  <si>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</si>
  <si>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</si>
  <si>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</si>
  <si>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</si>
  <si>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</si>
  <si>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</si>
  <si>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</si>
  <si>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</si>
  <si>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</si>
  <si>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</si>
  <si>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</si>
  <si>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</si>
  <si>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</si>
  <si>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</si>
  <si>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</si>
  <si>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</si>
  <si>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</si>
  <si>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</si>
  <si>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</si>
  <si>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</si>
  <si>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</si>
  <si>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</si>
  <si>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</si>
  <si>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</si>
  <si>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</si>
  <si>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</si>
  <si>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</si>
  <si>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</si>
  <si>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</si>
  <si>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</si>
  <si>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</si>
  <si>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</si>
  <si>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</si>
  <si>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</si>
  <si>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</si>
  <si>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</si>
  <si>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</si>
  <si>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</si>
  <si>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</si>
  <si>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</si>
  <si>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</si>
  <si>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</si>
  <si>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</si>
  <si>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</si>
  <si>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</si>
  <si>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</si>
  <si>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</si>
  <si>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</si>
  <si>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</si>
  <si>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</si>
  <si>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</si>
  <si>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</si>
  <si>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</si>
  <si>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</si>
  <si>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</si>
  <si>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</si>
  <si>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</si>
  <si>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</si>
  <si>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</si>
  <si>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</si>
  <si>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</si>
  <si>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</si>
  <si>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</si>
  <si>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</si>
  <si>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</si>
  <si>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</si>
  <si>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</si>
  <si>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</si>
  <si>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</si>
  <si>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</si>
  <si>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</si>
  <si>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</si>
  <si>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</si>
  <si>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</si>
  <si>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</si>
  <si>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</si>
  <si>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</si>
  <si>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</si>
  <si>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</si>
  <si>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</si>
  <si>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</si>
  <si>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</si>
  <si>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</si>
  <si>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</si>
  <si>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</si>
  <si>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</si>
  <si>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</si>
  <si>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</si>
  <si>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</si>
  <si>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</si>
  <si>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</si>
  <si>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</si>
  <si>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</si>
  <si>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</si>
  <si>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</si>
  <si>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</si>
  <si>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</si>
  <si>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</si>
  <si>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</si>
  <si>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</si>
  <si>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</si>
  <si>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</si>
  <si>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</si>
  <si>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</si>
  <si>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</si>
  <si>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</si>
  <si>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</si>
  <si>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</si>
  <si>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</si>
  <si>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</si>
  <si>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</si>
  <si>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</si>
  <si>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</si>
  <si>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</si>
  <si>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</si>
  <si>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</si>
  <si>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</si>
  <si>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</si>
  <si>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</si>
  <si>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</si>
  <si>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</si>
  <si>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</si>
  <si>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</si>
  <si>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</si>
  <si>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</si>
  <si>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</si>
  <si>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</si>
  <si>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</si>
  <si>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</si>
  <si>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</si>
  <si>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</si>
  <si>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</si>
  <si>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</si>
  <si>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</si>
  <si>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</si>
  <si>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</si>
  <si>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</si>
  <si>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</si>
  <si>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</si>
  <si>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</si>
  <si>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</si>
  <si>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</si>
  <si>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</si>
  <si>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</si>
  <si>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</si>
  <si>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</si>
  <si>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</si>
  <si>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</si>
  <si>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</si>
  <si>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</si>
  <si>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</si>
  <si>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</si>
  <si>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</si>
  <si>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</si>
  <si>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</si>
  <si>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</si>
  <si>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</si>
  <si>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</si>
  <si>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</si>
  <si>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</si>
  <si>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</si>
  <si>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</si>
  <si>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</si>
  <si>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</si>
  <si>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</si>
  <si>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</si>
  <si>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</si>
  <si>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</si>
  <si>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</si>
  <si>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</si>
  <si>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</si>
  <si>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</si>
  <si>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</si>
  <si>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</si>
  <si>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</si>
  <si>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</si>
  <si>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</si>
  <si>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</si>
  <si>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</si>
  <si>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</si>
  <si>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</si>
  <si>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</si>
  <si>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</si>
  <si>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</si>
  <si>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</si>
  <si>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</si>
  <si>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</si>
  <si>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</si>
  <si>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</si>
  <si>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</si>
  <si>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</si>
  <si>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</si>
  <si>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</si>
  <si>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</si>
  <si>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</si>
  <si>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</si>
  <si>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</si>
  <si>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</si>
  <si>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</si>
  <si>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</si>
  <si>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</si>
  <si>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</si>
  <si>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</si>
  <si>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</si>
  <si>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</si>
  <si>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</si>
  <si>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</si>
  <si>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</si>
  <si>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</si>
  <si>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</si>
  <si>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</si>
  <si>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</si>
  <si>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</si>
  <si>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</si>
  <si>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</si>
  <si>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</si>
  <si>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</si>
  <si>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</si>
  <si>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</si>
  <si>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</si>
  <si>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</si>
  <si>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</si>
  <si>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</si>
  <si>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</si>
  <si>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</si>
  <si>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</si>
  <si>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</si>
  <si>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</si>
  <si>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</si>
  <si>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</si>
  <si>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</si>
  <si>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</si>
  <si>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</si>
  <si>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</si>
  <si>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</si>
  <si>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</si>
  <si>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</si>
  <si>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</si>
  <si>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</si>
  <si>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</si>
  <si>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</si>
  <si>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</si>
  <si>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</si>
  <si>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</si>
  <si>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</si>
  <si>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</si>
  <si>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</si>
  <si>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</si>
  <si>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</si>
  <si>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</si>
  <si>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</si>
  <si>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</si>
  <si>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</si>
  <si>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</si>
  <si>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</si>
  <si>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</si>
  <si>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</si>
  <si>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</si>
  <si>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</si>
  <si>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</si>
  <si>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</si>
  <si>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</si>
  <si>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</si>
  <si>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</si>
  <si>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</si>
  <si>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</si>
  <si>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</si>
  <si>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</si>
  <si>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</si>
  <si>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</si>
  <si>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</si>
  <si>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</si>
  <si>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</si>
  <si>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</si>
  <si>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</si>
  <si>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</si>
  <si>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</si>
  <si>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</si>
  <si>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</si>
  <si>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</si>
  <si>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</si>
  <si>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</si>
  <si>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</si>
  <si>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</si>
  <si>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</si>
  <si>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</si>
  <si>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</si>
  <si>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</si>
  <si>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</si>
  <si>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</si>
  <si>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</si>
  <si>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</si>
  <si>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</si>
  <si>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</si>
  <si>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</si>
  <si>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</si>
  <si>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</si>
  <si>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</si>
  <si>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</si>
  <si>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</si>
  <si>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</si>
  <si>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</si>
  <si>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</si>
  <si>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</si>
  <si>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</si>
  <si>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</si>
  <si>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</si>
  <si>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</si>
  <si>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</si>
  <si>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</si>
  <si>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</si>
  <si>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</si>
  <si>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</si>
  <si>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</si>
  <si>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</si>
  <si>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</si>
  <si>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</si>
  <si>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</si>
  <si>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</si>
  <si>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</si>
  <si>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</si>
  <si>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</si>
  <si>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</si>
  <si>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</si>
  <si>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</si>
  <si>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</si>
  <si>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</si>
  <si>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</si>
  <si>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</si>
  <si>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</si>
  <si>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</si>
  <si>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</si>
  <si>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</si>
  <si>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</si>
  <si>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</si>
  <si>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</si>
  <si>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</si>
  <si>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</si>
  <si>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</si>
  <si>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</si>
  <si>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</si>
  <si>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</si>
  <si>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</si>
  <si>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</si>
  <si>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</si>
  <si>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</si>
  <si>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</si>
  <si>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</si>
  <si>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</si>
  <si>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</si>
  <si>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</si>
  <si>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</si>
  <si>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</si>
  <si>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</si>
  <si>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</si>
  <si>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</si>
  <si>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</si>
  <si>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</si>
  <si>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</si>
  <si>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</si>
  <si>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</si>
  <si>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</si>
  <si>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</si>
  <si>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</si>
  <si>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</si>
  <si>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</si>
  <si>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</si>
  <si>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</si>
  <si>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</si>
  <si>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</si>
  <si>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</si>
  <si>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</si>
  <si>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</si>
  <si>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</si>
  <si>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</si>
  <si>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</si>
  <si>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</si>
  <si>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</si>
  <si>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</si>
  <si>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</si>
  <si>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</si>
  <si>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</si>
  <si>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</si>
  <si>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</si>
  <si>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</si>
  <si>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</si>
  <si>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</si>
  <si>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</si>
  <si>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</si>
  <si>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</si>
  <si>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</si>
  <si>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</si>
  <si>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</si>
  <si>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</si>
  <si>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</si>
  <si>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</si>
  <si>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</si>
  <si>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</si>
  <si>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</si>
  <si>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</si>
  <si>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</si>
  <si>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</si>
  <si>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</si>
  <si>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</si>
  <si>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</si>
  <si>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</si>
  <si>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</si>
  <si>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</si>
  <si>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</si>
  <si>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</si>
  <si>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</si>
  <si>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</si>
  <si>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</si>
  <si>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</si>
  <si>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</si>
  <si>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</si>
  <si>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</si>
  <si>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</si>
  <si>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</si>
  <si>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</si>
  <si>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</si>
  <si>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</si>
  <si>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</si>
  <si>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</si>
  <si>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</si>
  <si>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</si>
  <si>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</si>
  <si>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</si>
  <si>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</si>
  <si>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</si>
  <si>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</si>
  <si>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</si>
  <si>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</si>
  <si>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</si>
  <si>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</si>
  <si>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</si>
  <si>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</si>
  <si>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</si>
  <si>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</si>
  <si>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</si>
  <si>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</si>
  <si>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</si>
  <si>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</si>
  <si>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</si>
  <si>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</si>
  <si>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</si>
  <si>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</si>
  <si>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</si>
  <si>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</si>
  <si>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</si>
  <si>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</si>
  <si>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</si>
  <si>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</si>
  <si>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</si>
  <si>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</si>
  <si>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</si>
  <si>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</si>
  <si>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</si>
  <si>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</si>
  <si>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</si>
  <si>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</si>
  <si>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</si>
  <si>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</si>
  <si>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</si>
  <si>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</si>
  <si>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</si>
  <si>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</si>
  <si>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</si>
  <si>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</si>
  <si>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</si>
  <si>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</si>
  <si>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</si>
  <si>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</si>
  <si>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</si>
  <si>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</si>
  <si>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</si>
  <si>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</si>
  <si>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</si>
  <si>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</si>
  <si>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</si>
  <si>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</si>
  <si>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</si>
  <si>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</si>
  <si>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</si>
  <si>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</si>
  <si>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</si>
  <si>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</si>
  <si>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</si>
  <si>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</si>
  <si>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</si>
  <si>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</si>
  <si>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</si>
  <si>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</si>
  <si>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</si>
  <si>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</si>
  <si>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</si>
  <si>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</si>
  <si>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</si>
  <si>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</si>
  <si>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</si>
  <si>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</si>
  <si>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</si>
  <si>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</si>
  <si>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</si>
  <si>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</si>
  <si>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</si>
  <si>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</si>
  <si>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</si>
  <si>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</si>
  <si>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</si>
  <si>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</si>
  <si>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</si>
  <si>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</si>
  <si>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</si>
  <si>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</si>
  <si>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</si>
  <si>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</si>
  <si>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</si>
  <si>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</si>
  <si>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</si>
  <si>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</si>
  <si>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</si>
  <si>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</si>
  <si>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</si>
  <si>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</si>
  <si>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</si>
  <si>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</si>
  <si>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</si>
  <si>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</si>
  <si>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</si>
  <si>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</si>
  <si>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</si>
  <si>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</si>
  <si>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</si>
  <si>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</si>
  <si>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</si>
  <si>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</si>
  <si>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</si>
  <si>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</si>
  <si>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</si>
  <si>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</si>
  <si>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</si>
  <si>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</si>
  <si>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</si>
  <si>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</si>
  <si>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</si>
  <si>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</si>
  <si>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</si>
  <si>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</si>
  <si>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</si>
  <si>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</si>
  <si>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</si>
  <si>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</si>
  <si>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</si>
  <si>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</si>
  <si>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</si>
  <si>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</si>
  <si>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</si>
  <si>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</si>
  <si>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</si>
  <si>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</si>
  <si>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</si>
  <si>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</si>
  <si>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</si>
  <si>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</si>
  <si>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</si>
  <si>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</si>
  <si>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</si>
  <si>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</si>
  <si>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</si>
  <si>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</si>
  <si>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</si>
  <si>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</si>
  <si>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</si>
  <si>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</si>
  <si>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</si>
  <si>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</si>
  <si>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</si>
  <si>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</si>
  <si>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</si>
  <si>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</si>
  <si>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</si>
  <si>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</si>
  <si>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</si>
  <si>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</si>
  <si>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</si>
  <si>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</si>
  <si>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</si>
  <si>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</si>
  <si>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</si>
  <si>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</si>
  <si>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</si>
  <si>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</si>
  <si>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</si>
  <si>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</si>
  <si>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</si>
  <si>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</si>
  <si>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</si>
  <si>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</si>
  <si>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</si>
  <si>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</si>
  <si>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</si>
  <si>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</si>
  <si>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</si>
  <si>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</si>
  <si>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</si>
  <si>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</si>
  <si>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</si>
  <si>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</si>
  <si>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</si>
  <si>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</si>
  <si>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</si>
  <si>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</si>
  <si>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</si>
  <si>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</si>
  <si>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</si>
  <si>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</si>
  <si>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</si>
  <si>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</si>
  <si>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</si>
  <si>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</si>
  <si>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</si>
  <si>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</si>
  <si>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</si>
  <si>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</si>
  <si>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</si>
  <si>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</si>
  <si>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</si>
  <si>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</si>
  <si>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</si>
  <si>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</si>
  <si>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</si>
  <si>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</si>
  <si>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</si>
  <si>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</si>
  <si>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</si>
  <si>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</si>
  <si>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</si>
  <si>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</si>
  <si>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</si>
  <si>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</si>
  <si>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</si>
  <si>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</si>
  <si>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</si>
  <si>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</si>
  <si>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</si>
  <si>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</si>
  <si>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</si>
  <si>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</si>
  <si>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</si>
  <si>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</si>
  <si>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</si>
  <si>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</si>
  <si>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</si>
  <si>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</si>
  <si>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</si>
  <si>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</si>
  <si>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</si>
  <si>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</si>
  <si>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</si>
  <si>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</si>
  <si>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</si>
  <si>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</si>
  <si>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</si>
  <si>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</si>
  <si>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</si>
  <si>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</si>
  <si>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</si>
  <si>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</si>
  <si>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</si>
  <si>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</si>
  <si>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</si>
  <si>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</si>
  <si>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</si>
  <si>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</si>
  <si>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</si>
  <si>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</si>
  <si>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</si>
  <si>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</si>
  <si>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</si>
  <si>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</si>
  <si>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</si>
  <si>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</si>
  <si>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</si>
  <si>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</si>
  <si>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</si>
  <si>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</si>
  <si>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</si>
  <si>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</si>
  <si>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</si>
  <si>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</si>
  <si>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</si>
  <si>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</si>
  <si>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</si>
  <si>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</si>
  <si>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</si>
  <si>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</si>
  <si>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</si>
  <si>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</si>
  <si>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</si>
  <si>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</si>
  <si>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</si>
  <si>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</si>
  <si>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</si>
  <si>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</si>
  <si>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</si>
  <si>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</si>
  <si>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</si>
  <si>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</si>
  <si>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</si>
  <si>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</si>
  <si>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</si>
  <si>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</si>
  <si>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</si>
  <si>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</si>
  <si>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</si>
  <si>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</si>
  <si>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</si>
  <si>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</si>
  <si>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</si>
  <si>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</si>
  <si>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</si>
  <si>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</si>
  <si>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</si>
  <si>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</si>
  <si>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</si>
  <si>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</si>
  <si>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</si>
  <si>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</si>
  <si>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</si>
  <si>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</si>
  <si>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</si>
  <si>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</si>
  <si>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</si>
  <si>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</si>
  <si>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</si>
  <si>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</si>
  <si>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</si>
  <si>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</si>
  <si>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</si>
  <si>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</si>
  <si>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</si>
  <si>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</si>
  <si>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</si>
  <si>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</si>
  <si>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</si>
  <si>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</si>
  <si>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</si>
  <si>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</si>
  <si>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</si>
  <si>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</si>
  <si>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</si>
  <si>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</si>
  <si>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</si>
  <si>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</si>
  <si>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</si>
  <si>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</si>
  <si>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</si>
  <si>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</si>
  <si>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</si>
  <si>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</si>
  <si>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</si>
  <si>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</si>
  <si>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</si>
  <si>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</si>
  <si>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</si>
  <si>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</si>
  <si>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</si>
  <si>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</si>
  <si>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</si>
  <si>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</si>
  <si>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</si>
  <si>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</si>
  <si>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</si>
  <si>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</si>
  <si>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</si>
  <si>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</si>
  <si>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</si>
  <si>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</si>
  <si>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</si>
  <si>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</si>
  <si>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</si>
  <si>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</si>
  <si>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</si>
  <si>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</si>
  <si>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</si>
  <si>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</si>
  <si>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</si>
  <si>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</si>
  <si>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</si>
  <si>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</si>
  <si>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</si>
  <si>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</si>
  <si>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</si>
  <si>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</si>
  <si>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</si>
  <si>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</si>
  <si>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</si>
  <si>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</si>
  <si>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</si>
  <si>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</si>
  <si>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</si>
  <si>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</si>
  <si>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</si>
  <si>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</si>
  <si>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</si>
  <si>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</si>
  <si>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</si>
  <si>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</si>
  <si>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</si>
  <si>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</si>
  <si>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</si>
  <si>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</si>
  <si>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</si>
  <si>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</si>
  <si>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</si>
  <si>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</si>
  <si>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</si>
  <si>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</si>
  <si>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</si>
  <si>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</si>
  <si>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</si>
  <si>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</si>
  <si>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</si>
  <si>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</si>
  <si>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</si>
  <si>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</si>
  <si>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</si>
  <si>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</si>
  <si>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</si>
  <si>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</si>
  <si>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</si>
  <si>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</si>
  <si>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</si>
  <si>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</si>
  <si>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</si>
  <si>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</si>
  <si>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</si>
  <si>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</si>
  <si>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</si>
  <si>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</si>
  <si>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</si>
  <si>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</si>
  <si>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</si>
  <si>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</si>
  <si>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</si>
  <si>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</si>
  <si>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</si>
  <si>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</si>
  <si>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</si>
  <si>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</si>
  <si>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</si>
  <si>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</si>
  <si>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</si>
  <si>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</si>
  <si>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</si>
  <si>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</si>
  <si>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</si>
  <si>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</si>
  <si>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</si>
  <si>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</si>
  <si>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</si>
  <si>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</si>
  <si>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</si>
  <si>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</si>
  <si>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</si>
  <si>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</si>
  <si>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</si>
  <si>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</si>
  <si>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</si>
  <si>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</si>
  <si>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</si>
  <si>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</si>
  <si>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</si>
  <si>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</si>
  <si>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</si>
  <si>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</si>
  <si>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</si>
  <si>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</si>
  <si>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</si>
  <si>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</si>
  <si>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</si>
  <si>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</si>
  <si>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</si>
  <si>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</si>
  <si>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</si>
  <si>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</si>
  <si>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</si>
  <si>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</si>
  <si>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</si>
  <si>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</si>
  <si>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</si>
  <si>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</si>
  <si>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</si>
  <si>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</si>
  <si>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</si>
  <si>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</si>
  <si>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</si>
  <si>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</si>
  <si>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</si>
  <si>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</si>
  <si>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</si>
  <si>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</si>
  <si>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</si>
  <si>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</si>
  <si>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</si>
  <si>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</si>
  <si>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</si>
  <si>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</si>
  <si>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</si>
  <si>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</si>
  <si>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</si>
  <si>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</si>
  <si>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</si>
  <si>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</si>
  <si>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</si>
  <si>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</si>
  <si>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</si>
  <si>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</si>
  <si>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</si>
  <si>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</si>
  <si>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</si>
  <si>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</si>
  <si>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</si>
  <si>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</si>
  <si>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</si>
  <si>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</si>
  <si>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</si>
  <si>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</si>
  <si>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</si>
  <si>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</si>
  <si>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</si>
  <si>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</si>
  <si>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</si>
  <si>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</si>
  <si>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</si>
  <si>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</si>
  <si>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</si>
  <si>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</si>
  <si>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</si>
  <si>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</si>
  <si>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</si>
  <si>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</si>
  <si>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</si>
  <si>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</si>
  <si>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</si>
  <si>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</si>
  <si>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</si>
  <si>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</si>
  <si>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</si>
  <si>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</si>
  <si>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</si>
  <si>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</si>
  <si>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</si>
  <si>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</si>
  <si>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</si>
  <si>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</si>
  <si>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</si>
  <si>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</si>
  <si>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</si>
  <si>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</si>
  <si>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</si>
  <si>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</si>
  <si>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</si>
  <si>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</si>
  <si>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</si>
  <si>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</si>
  <si>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</si>
  <si>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</si>
  <si>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</si>
  <si>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</si>
  <si>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</si>
  <si>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</si>
  <si>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</si>
  <si>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</si>
  <si>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</si>
  <si>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</si>
  <si>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</si>
  <si>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</si>
  <si>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</si>
  <si>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</si>
  <si>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</si>
  <si>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</si>
  <si>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</si>
  <si>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</si>
  <si>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</si>
  <si>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</si>
  <si>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</si>
  <si>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</si>
  <si>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</si>
  <si>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</si>
  <si>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</si>
  <si>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</si>
  <si>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</si>
  <si>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</si>
  <si>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</si>
  <si>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</si>
  <si>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</si>
  <si>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</si>
  <si>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</si>
  <si>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</si>
  <si>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</si>
  <si>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</si>
  <si>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</si>
  <si>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</si>
  <si>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</si>
  <si>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</si>
  <si>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</si>
  <si>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</si>
  <si>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</si>
  <si>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</si>
  <si>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</si>
  <si>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</si>
  <si>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</si>
  <si>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</si>
  <si>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</si>
  <si>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</si>
  <si>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</si>
  <si>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</si>
  <si>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</si>
  <si>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</si>
  <si>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</si>
  <si>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</si>
  <si>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</si>
  <si>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</si>
  <si>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</si>
  <si>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</si>
  <si>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</si>
  <si>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</si>
  <si>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</si>
  <si>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</si>
  <si>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</si>
  <si>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</si>
  <si>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</si>
  <si>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</si>
  <si>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</si>
  <si>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</si>
  <si>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</si>
  <si>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</si>
  <si>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</si>
  <si>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</si>
  <si>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</si>
  <si>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</si>
  <si>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</si>
  <si>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</si>
  <si>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</si>
  <si>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</si>
  <si>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</si>
  <si>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</si>
  <si>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</si>
  <si>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</si>
  <si>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</si>
  <si>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</si>
  <si>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</si>
  <si>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</si>
  <si>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</si>
  <si>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</si>
  <si>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</si>
  <si>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</si>
  <si>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</si>
  <si>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</si>
  <si>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</si>
  <si>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</si>
  <si>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</si>
  <si>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</si>
  <si>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</si>
  <si>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</si>
  <si>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</si>
  <si>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</si>
  <si>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</si>
  <si>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</si>
  <si>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</si>
  <si>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</si>
  <si>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</si>
  <si>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</si>
  <si>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</si>
  <si>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</si>
  <si>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</si>
  <si>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</si>
  <si>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</si>
  <si>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</si>
  <si>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</si>
  <si>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</si>
  <si>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</si>
  <si>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</si>
  <si>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</si>
  <si>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</si>
  <si>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</si>
  <si>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</si>
  <si>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</si>
  <si>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</si>
  <si>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</si>
  <si>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</si>
  <si>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</si>
  <si>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</si>
  <si>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</si>
  <si>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</si>
  <si>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</si>
  <si>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</si>
  <si>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</si>
  <si>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</si>
  <si>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</si>
  <si>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</si>
  <si>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</si>
  <si>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</si>
  <si>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</si>
  <si>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</si>
  <si>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</si>
  <si>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</si>
  <si>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</si>
  <si>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</si>
  <si>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</si>
  <si>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</si>
  <si>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</si>
  <si>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</si>
  <si>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</si>
  <si>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</si>
  <si>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</si>
  <si>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</si>
  <si>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</si>
  <si>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</si>
  <si>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</si>
  <si>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</si>
  <si>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</si>
  <si>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</si>
  <si>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</si>
  <si>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</si>
  <si>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</si>
  <si>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</si>
  <si>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</si>
  <si>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</si>
  <si>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</si>
  <si>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</si>
  <si>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</si>
  <si>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</si>
  <si>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</si>
  <si>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</si>
  <si>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</si>
  <si>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</si>
  <si>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</si>
  <si>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</si>
  <si>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</si>
  <si>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</si>
  <si>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</si>
  <si>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</si>
  <si>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</si>
  <si>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</si>
  <si>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</si>
  <si>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</si>
  <si>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</si>
  <si>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</si>
  <si>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</si>
  <si>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</si>
  <si>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</si>
  <si>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</si>
  <si>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</si>
  <si>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</si>
  <si>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</si>
  <si>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</si>
  <si>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</si>
  <si>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</si>
  <si>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</si>
  <si>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</si>
  <si>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</si>
  <si>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</si>
  <si>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</si>
  <si>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</si>
  <si>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</si>
  <si>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</si>
  <si>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</si>
  <si>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</si>
  <si>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</si>
  <si>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</si>
  <si>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</si>
  <si>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</si>
  <si>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</si>
  <si>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</si>
  <si>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</si>
  <si>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</si>
  <si>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</si>
  <si>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</si>
  <si>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</si>
  <si>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</si>
  <si>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</si>
  <si>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</si>
  <si>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</si>
  <si>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</si>
  <si>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</si>
  <si>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</si>
  <si>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</si>
  <si>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</si>
  <si>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</si>
  <si>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</si>
  <si>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</si>
  <si>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</si>
  <si>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</si>
  <si>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</si>
  <si>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</si>
  <si>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</si>
  <si>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</si>
  <si>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</si>
  <si>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</si>
  <si>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</si>
  <si>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</si>
  <si>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</si>
  <si>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</si>
  <si>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</si>
  <si>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</si>
  <si>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</si>
  <si>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</si>
  <si>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</si>
  <si>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</si>
  <si>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</si>
  <si>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</si>
  <si>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</si>
  <si>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</si>
  <si>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</si>
  <si>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</si>
  <si>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</si>
  <si>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</si>
  <si>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</si>
  <si>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</si>
  <si>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</si>
  <si>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</si>
  <si>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</si>
  <si>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</si>
  <si>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</si>
  <si>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</si>
  <si>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</si>
  <si>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</si>
  <si>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</si>
  <si>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</si>
  <si>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</si>
  <si>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</si>
  <si>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</si>
  <si>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</si>
  <si>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</si>
  <si>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</si>
  <si>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</si>
  <si>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</si>
  <si>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</si>
  <si>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</si>
  <si>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</si>
  <si>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</si>
  <si>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</si>
  <si>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</si>
  <si>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</si>
  <si>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</si>
  <si>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</si>
  <si>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</si>
  <si>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</si>
  <si>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</si>
  <si>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</si>
  <si>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</si>
  <si>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</si>
  <si>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</si>
  <si>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</si>
  <si>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</si>
  <si>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</si>
  <si>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</si>
  <si>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</si>
  <si>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</si>
  <si>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</si>
  <si>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</si>
  <si>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</si>
  <si>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</si>
  <si>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</si>
  <si>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</si>
  <si>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</si>
  <si>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</si>
  <si>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</si>
  <si>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</si>
  <si>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</si>
  <si>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</si>
  <si>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</si>
  <si>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</si>
  <si>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</si>
  <si>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</si>
  <si>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</si>
  <si>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</si>
  <si>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</si>
  <si>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</si>
  <si>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</si>
  <si>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</si>
  <si>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</si>
  <si>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</si>
  <si>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</si>
  <si>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</si>
  <si>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</si>
  <si>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</si>
  <si>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</si>
  <si>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</si>
  <si>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</si>
  <si>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</si>
  <si>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</si>
  <si>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</si>
  <si>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</si>
  <si>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</si>
  <si>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</si>
  <si>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</si>
  <si>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</si>
  <si>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</si>
  <si>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</si>
  <si>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</si>
  <si>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</si>
  <si>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</si>
  <si>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</si>
  <si>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</si>
  <si>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</si>
  <si>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</si>
  <si>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</si>
  <si>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</si>
  <si>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</si>
  <si>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</si>
  <si>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</si>
  <si>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</si>
  <si>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</si>
  <si>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</si>
  <si>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</si>
  <si>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</si>
  <si>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</si>
  <si>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</si>
  <si>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</si>
  <si>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</si>
  <si>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</si>
  <si>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</si>
  <si>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</si>
  <si>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</si>
  <si>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</si>
  <si>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</si>
  <si>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</si>
  <si>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</si>
  <si>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</si>
  <si>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</si>
  <si>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</si>
  <si>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</si>
  <si>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</si>
  <si>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</si>
  <si>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</si>
  <si>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</si>
  <si>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</si>
  <si>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</si>
  <si>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</si>
  <si>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</si>
  <si>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</si>
  <si>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</si>
  <si>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</si>
  <si>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</si>
  <si>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</si>
  <si>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</si>
  <si>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</si>
  <si>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</si>
  <si>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</si>
  <si>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</si>
  <si>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</si>
  <si>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</si>
  <si>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</si>
  <si>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</si>
  <si>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</si>
  <si>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</si>
  <si>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</si>
  <si>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</si>
  <si>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</si>
  <si>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</si>
  <si>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</si>
  <si>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</si>
  <si>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</si>
  <si>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</si>
  <si>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</si>
  <si>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</si>
  <si>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</si>
  <si>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</si>
  <si>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</si>
  <si>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</si>
  <si>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</si>
  <si>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</si>
  <si>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</si>
  <si>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</si>
  <si>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</si>
  <si>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</si>
  <si>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</si>
  <si>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</si>
  <si>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</si>
  <si>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</si>
  <si>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</si>
  <si>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</si>
  <si>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</si>
  <si>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</si>
  <si>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</si>
  <si>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</si>
  <si>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</si>
  <si>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</si>
  <si>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</si>
  <si>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</si>
  <si>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</si>
  <si>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</si>
  <si>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</si>
  <si>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</si>
  <si>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</si>
  <si>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</si>
  <si>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</si>
  <si>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</si>
  <si>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</si>
  <si>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</si>
  <si>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</si>
  <si>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</si>
  <si>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</si>
  <si>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</si>
  <si>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</si>
  <si>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</si>
  <si>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</si>
  <si>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</si>
  <si>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</si>
  <si>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</si>
  <si>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</si>
  <si>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</si>
  <si>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</si>
  <si>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</si>
  <si>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</si>
  <si>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</si>
  <si>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</si>
  <si>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</si>
  <si>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</si>
  <si>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</si>
  <si>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</si>
  <si>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</si>
  <si>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</si>
  <si>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</si>
  <si>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</si>
  <si>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</si>
  <si>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</si>
  <si>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</si>
  <si>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</si>
  <si>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</si>
  <si>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</si>
  <si>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</si>
  <si>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</si>
  <si>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</si>
  <si>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</si>
  <si>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</si>
  <si>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</si>
  <si>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</si>
  <si>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</si>
  <si>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</si>
  <si>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</si>
  <si>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</si>
  <si>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</si>
  <si>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</si>
  <si>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</si>
  <si>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</si>
  <si>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</si>
  <si>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</si>
  <si>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</si>
  <si>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</si>
  <si>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</si>
  <si>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</si>
  <si>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</si>
  <si>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</si>
  <si>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</si>
  <si>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</si>
  <si>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</si>
  <si>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</si>
  <si>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</si>
  <si>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</si>
  <si>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</si>
  <si>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</si>
  <si>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</si>
  <si>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</si>
  <si>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</si>
  <si>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</si>
  <si>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</si>
  <si>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</si>
  <si>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</si>
  <si>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</si>
  <si>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</si>
  <si>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</si>
  <si>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</si>
  <si>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</si>
  <si>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</si>
  <si>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</si>
  <si>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</si>
  <si>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</si>
  <si>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</si>
  <si>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</si>
  <si>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</si>
  <si>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</si>
  <si>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</si>
  <si>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</si>
  <si>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</si>
  <si>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</si>
  <si>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</si>
  <si>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</si>
  <si>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</si>
  <si>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</si>
  <si>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</si>
  <si>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</si>
  <si>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</si>
  <si>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</si>
  <si>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</si>
  <si>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</si>
  <si>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</si>
  <si>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</si>
  <si>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</si>
  <si>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</si>
  <si>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</si>
  <si>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</si>
  <si>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</si>
  <si>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</si>
  <si>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</si>
  <si>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</si>
  <si>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</si>
  <si>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</si>
  <si>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</si>
  <si>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</si>
  <si>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</si>
  <si>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</si>
  <si>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</si>
  <si>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</si>
  <si>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</si>
  <si>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</si>
  <si>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</si>
  <si>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</si>
  <si>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</si>
  <si>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</si>
  <si>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</si>
  <si>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</si>
  <si>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</si>
  <si>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</si>
  <si>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</si>
  <si>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</si>
  <si>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</si>
  <si>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</si>
  <si>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</si>
  <si>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</si>
  <si>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</si>
  <si>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</si>
  <si>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</si>
  <si>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</si>
  <si>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</si>
  <si>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</si>
  <si>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</si>
  <si>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</si>
  <si>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</si>
  <si>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</si>
  <si>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</si>
  <si>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</si>
  <si>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</si>
  <si>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</si>
  <si>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</si>
  <si>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</si>
  <si>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</si>
  <si>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</si>
  <si>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</si>
  <si>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</si>
  <si>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</si>
  <si>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</si>
  <si>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</si>
  <si>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</si>
  <si>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</si>
  <si>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</si>
  <si>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</si>
  <si>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</si>
  <si>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</si>
  <si>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</si>
  <si>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</si>
  <si>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</si>
  <si>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</si>
  <si>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</si>
  <si>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</si>
  <si>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</si>
  <si>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</si>
  <si>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</si>
  <si>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</si>
  <si>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</si>
  <si>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</si>
  <si>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</si>
  <si>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</si>
  <si>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</si>
  <si>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</si>
  <si>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</si>
  <si>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</si>
  <si>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</si>
  <si>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</si>
  <si>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</si>
  <si>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</si>
  <si>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</si>
  <si>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</si>
  <si>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</si>
  <si>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</si>
  <si>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</si>
  <si>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</si>
  <si>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</si>
  <si>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</si>
  <si>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</si>
  <si>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</si>
  <si>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</si>
  <si>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</si>
  <si>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</si>
  <si>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</si>
  <si>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</si>
  <si>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</si>
  <si>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</si>
  <si>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</si>
  <si>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</si>
  <si>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</si>
  <si>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</si>
  <si>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</si>
  <si>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</si>
  <si>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</si>
  <si>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</si>
  <si>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</si>
  <si>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</si>
  <si>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</si>
  <si>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</si>
  <si>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</si>
  <si>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</si>
  <si>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</si>
  <si>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</si>
  <si>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</si>
  <si>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</si>
  <si>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</si>
  <si>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</si>
  <si>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</si>
  <si>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</si>
  <si>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</si>
  <si>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</si>
  <si>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</si>
  <si>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</si>
  <si>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</si>
  <si>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</si>
  <si>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</si>
  <si>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</si>
  <si>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</si>
  <si>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</si>
  <si>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</si>
  <si>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</si>
  <si>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</si>
  <si>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</si>
  <si>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</si>
  <si>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</si>
  <si>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</si>
  <si>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</si>
  <si>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</si>
  <si>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</si>
  <si>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</si>
  <si>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</si>
  <si>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</si>
  <si>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</si>
  <si>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</si>
  <si>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</si>
  <si>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</si>
  <si>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</si>
  <si>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</si>
  <si>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</si>
  <si>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</si>
  <si>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</si>
  <si>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</si>
  <si>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</si>
  <si>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</si>
  <si>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</si>
  <si>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</si>
  <si>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</si>
  <si>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</si>
  <si>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</si>
  <si>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</si>
  <si>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</si>
  <si>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</si>
  <si>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</si>
  <si>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</si>
  <si>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</si>
  <si>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</si>
  <si>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</si>
  <si>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</si>
  <si>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</si>
  <si>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</si>
  <si>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</si>
  <si>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</si>
  <si>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</si>
  <si>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</si>
  <si>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</si>
  <si>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</si>
  <si>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</si>
  <si>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</si>
  <si>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</si>
  <si>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</si>
  <si>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</si>
  <si>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</si>
  <si>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</si>
  <si>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</si>
  <si>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</si>
  <si>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</si>
  <si>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</si>
  <si>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</si>
  <si>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</si>
  <si>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</si>
  <si>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</si>
  <si>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</si>
  <si>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</si>
  <si>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</si>
  <si>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</si>
  <si>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</si>
  <si>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</si>
  <si>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</si>
  <si>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</si>
  <si>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</si>
  <si>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</si>
  <si>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</si>
  <si>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</si>
  <si>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</si>
  <si>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</si>
  <si>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</si>
  <si>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</si>
  <si>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</si>
  <si>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</si>
  <si>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</si>
  <si>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</si>
  <si>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</si>
  <si>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</si>
  <si>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</si>
  <si>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</si>
  <si>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</si>
  <si>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</si>
  <si>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</si>
  <si>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</si>
  <si>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</si>
  <si>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</si>
  <si>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</si>
  <si>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</si>
  <si>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</si>
  <si>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</si>
  <si>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</si>
  <si>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</si>
  <si>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</si>
  <si>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</si>
  <si>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</si>
  <si>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</si>
  <si>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</si>
  <si>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</si>
  <si>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</si>
  <si>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</si>
  <si>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</si>
  <si>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</si>
  <si>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</si>
  <si>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</si>
  <si>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</si>
  <si>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</si>
  <si>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</si>
  <si>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</si>
  <si>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</si>
  <si>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</si>
  <si>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</si>
  <si>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</si>
  <si>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</si>
  <si>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</si>
  <si>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</si>
  <si>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</si>
  <si>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</si>
  <si>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</si>
  <si>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</si>
  <si>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</si>
  <si>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</si>
  <si>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</si>
  <si>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</si>
  <si>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</si>
  <si>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</si>
  <si>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</si>
  <si>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</si>
  <si>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</si>
  <si>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</si>
  <si>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</si>
  <si>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</si>
  <si>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</si>
  <si>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</si>
  <si>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</si>
  <si>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</si>
  <si>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</si>
  <si>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</si>
  <si>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</si>
  <si>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</si>
  <si>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</si>
  <si>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</si>
  <si>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</si>
  <si>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</si>
  <si>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</si>
  <si>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</si>
  <si>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</si>
  <si>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</si>
  <si>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</si>
  <si>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</si>
  <si>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</si>
  <si>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</si>
  <si>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</si>
  <si>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</si>
  <si>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</si>
  <si>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</si>
  <si>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</si>
  <si>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</si>
  <si>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</si>
  <si>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</si>
  <si>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</si>
  <si>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</si>
  <si>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</si>
  <si>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</si>
  <si>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</si>
  <si>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</si>
  <si>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</si>
  <si>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</si>
  <si>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</si>
  <si>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</si>
  <si>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</si>
  <si>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</si>
  <si>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</si>
  <si>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</si>
  <si>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</si>
  <si>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</si>
  <si>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</si>
  <si>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</si>
  <si>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</si>
  <si>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</si>
  <si>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</si>
  <si>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</si>
  <si>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</si>
  <si>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</si>
  <si>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</si>
  <si>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</si>
  <si>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</si>
  <si>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</si>
  <si>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</si>
  <si>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</si>
  <si>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</si>
  <si>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</si>
  <si>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</si>
  <si>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</si>
  <si>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</si>
  <si>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</si>
  <si>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</si>
  <si>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</si>
  <si>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</si>
  <si>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</si>
  <si>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</si>
  <si>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</si>
  <si>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</si>
  <si>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</si>
  <si>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</si>
  <si>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</si>
  <si>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</si>
  <si>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</si>
  <si>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</si>
  <si>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</si>
  <si>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</si>
  <si>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</si>
  <si>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</si>
  <si>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</si>
  <si>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</si>
  <si>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</si>
  <si>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</si>
  <si>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</si>
  <si>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</si>
  <si>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</si>
  <si>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</si>
  <si>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</si>
  <si>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</si>
  <si>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</si>
  <si>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</si>
  <si>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</si>
  <si>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</si>
  <si>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</si>
  <si>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</si>
  <si>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</si>
  <si>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</si>
  <si>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</si>
  <si>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</si>
  <si>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</si>
  <si>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</si>
  <si>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</si>
  <si>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</si>
  <si>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</si>
  <si>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</si>
  <si>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</si>
  <si>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</si>
  <si>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</si>
  <si>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</si>
  <si>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</si>
  <si>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</si>
  <si>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</si>
  <si>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</si>
  <si>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</si>
  <si>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</si>
  <si>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</si>
  <si>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</si>
  <si>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</si>
  <si>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</si>
  <si>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</si>
  <si>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</si>
  <si>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</si>
  <si>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</si>
  <si>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</si>
  <si>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</si>
  <si>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</si>
  <si>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</si>
  <si>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</si>
  <si>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</si>
  <si>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</si>
  <si>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</si>
  <si>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</si>
  <si>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</si>
  <si>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</si>
  <si>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</si>
  <si>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</si>
  <si>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</si>
  <si>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</si>
  <si>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</si>
  <si>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</si>
  <si>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</si>
  <si>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</si>
  <si>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</si>
  <si>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</si>
  <si>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</si>
  <si>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</si>
  <si>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</si>
  <si>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</si>
  <si>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</si>
  <si>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</si>
  <si>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</si>
  <si>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</si>
  <si>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</si>
  <si>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</si>
  <si>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</si>
  <si>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</si>
  <si>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</si>
  <si>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</si>
  <si>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</si>
  <si>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</si>
  <si>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</si>
  <si>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</si>
  <si>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</si>
  <si>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</si>
  <si>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</si>
  <si>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</si>
  <si>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</si>
  <si>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</si>
  <si>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</si>
  <si>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</si>
  <si>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</si>
  <si>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</si>
  <si>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</si>
  <si>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</si>
  <si>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</si>
  <si>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</si>
  <si>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</si>
  <si>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</si>
  <si>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</si>
  <si>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</si>
  <si>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</si>
  <si>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</si>
  <si>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</si>
  <si>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</si>
  <si>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</si>
  <si>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</si>
  <si>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</si>
  <si>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</si>
  <si>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</si>
  <si>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</si>
  <si>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</si>
  <si>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</si>
  <si>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</si>
  <si>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</si>
  <si>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</si>
  <si>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</si>
  <si>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</si>
  <si>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</si>
  <si>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</si>
  <si>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</si>
  <si>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</si>
  <si>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</si>
  <si>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</si>
  <si>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</si>
  <si>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</si>
  <si>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</si>
  <si>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</si>
  <si>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</si>
  <si>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</si>
  <si>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</si>
  <si>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</si>
  <si>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</si>
  <si>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</si>
  <si>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</si>
  <si>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</si>
  <si>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</si>
  <si>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</si>
  <si>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</si>
  <si>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</si>
  <si>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</si>
  <si>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</si>
  <si>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</si>
  <si>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</si>
  <si>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</si>
  <si>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</si>
  <si>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</si>
  <si>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</si>
  <si>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</si>
  <si>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</si>
  <si>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</si>
  <si>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</si>
  <si>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</si>
  <si>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</si>
  <si>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</si>
  <si>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</si>
  <si>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</si>
  <si>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</si>
  <si>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</si>
  <si>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</si>
  <si>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</si>
  <si>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</si>
  <si>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</si>
  <si>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</si>
  <si>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</si>
  <si>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</si>
  <si>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</si>
  <si>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</si>
  <si>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</si>
  <si>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</si>
  <si>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</si>
  <si>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</si>
  <si>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</si>
  <si>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</si>
  <si>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</si>
  <si>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</si>
  <si>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</si>
  <si>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</si>
  <si>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</si>
  <si>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</si>
  <si>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</si>
  <si>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</si>
  <si>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</si>
  <si>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</si>
  <si>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</si>
  <si>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</si>
  <si>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</si>
  <si>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</si>
  <si>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</si>
  <si>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</si>
  <si>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</si>
  <si>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</si>
  <si>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</si>
  <si>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</si>
  <si>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</si>
  <si>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</si>
  <si>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</si>
  <si>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</si>
  <si>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</si>
  <si>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</si>
  <si>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</si>
  <si>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</si>
  <si>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</si>
  <si>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</si>
  <si>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</si>
  <si>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</si>
  <si>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</si>
  <si>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</si>
  <si>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</si>
  <si>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</si>
  <si>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</si>
  <si>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</si>
  <si>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</si>
  <si>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</si>
  <si>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</si>
  <si>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</si>
  <si>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</si>
  <si>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</si>
  <si>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</si>
  <si>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</si>
  <si>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</si>
  <si>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</si>
  <si>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</si>
  <si>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</si>
  <si>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</si>
  <si>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</si>
  <si>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</si>
  <si>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</si>
  <si>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</si>
  <si>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</si>
  <si>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</si>
  <si>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</si>
  <si>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</si>
  <si>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</si>
  <si>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</si>
  <si>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</si>
  <si>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</si>
  <si>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</si>
  <si>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</si>
  <si>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</si>
  <si>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</si>
  <si>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</si>
  <si>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</si>
  <si>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</si>
  <si>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</si>
  <si>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</si>
  <si>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</si>
  <si>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</si>
  <si>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</si>
  <si>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</si>
  <si>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</si>
  <si>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</si>
  <si>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</si>
  <si>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</si>
  <si>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</si>
  <si>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</si>
  <si>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</si>
  <si>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</si>
  <si>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</si>
  <si>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</si>
  <si>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</si>
  <si>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</si>
  <si>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</si>
  <si>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</si>
  <si>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</si>
  <si>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</si>
  <si>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</si>
  <si>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</si>
  <si>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</si>
  <si>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</si>
  <si>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</si>
  <si>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</si>
  <si>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</si>
  <si>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</si>
  <si>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</si>
  <si>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</si>
  <si>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</si>
  <si>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</si>
  <si>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</si>
  <si>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</si>
  <si>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</si>
  <si>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</si>
  <si>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</si>
  <si>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</si>
  <si>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</si>
  <si>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</si>
  <si>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</si>
  <si>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</si>
  <si>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</si>
  <si>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</si>
  <si>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</si>
  <si>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</si>
  <si>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</si>
  <si>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</si>
  <si>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</si>
  <si>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</si>
  <si>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</si>
  <si>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</si>
  <si>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</si>
  <si>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</si>
  <si>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</si>
  <si>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</si>
  <si>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</si>
  <si>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</si>
  <si>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</si>
  <si>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</si>
  <si>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</si>
  <si>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</si>
  <si>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</si>
  <si>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</si>
  <si>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</si>
  <si>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</si>
  <si>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</si>
  <si>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</si>
  <si>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</si>
  <si>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</si>
  <si>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</si>
  <si>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</si>
  <si>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</si>
  <si>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</si>
  <si>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</si>
  <si>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</si>
  <si>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</si>
  <si>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</si>
  <si>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</si>
  <si>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</si>
  <si>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</si>
  <si>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</si>
  <si>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</si>
  <si>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</si>
  <si>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</si>
  <si>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</si>
  <si>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</si>
  <si>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</si>
  <si>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</si>
  <si>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</si>
  <si>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</si>
  <si>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</si>
  <si>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</si>
  <si>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</si>
  <si>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</si>
  <si>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</si>
  <si>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</si>
  <si>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</si>
  <si>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</si>
  <si>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</si>
  <si>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</si>
  <si>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</si>
  <si>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</si>
  <si>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</si>
  <si>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</si>
  <si>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</si>
  <si>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</si>
  <si>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</si>
  <si>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</si>
  <si>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</si>
  <si>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</si>
  <si>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</si>
  <si>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</si>
  <si>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</si>
  <si>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</si>
  <si>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</si>
  <si>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</si>
  <si>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</si>
  <si>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</si>
  <si>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</si>
  <si>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</si>
  <si>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</si>
  <si>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</si>
  <si>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</si>
  <si>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</si>
  <si>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</si>
  <si>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</si>
  <si>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</si>
  <si>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</si>
  <si>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</si>
  <si>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</si>
  <si>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</si>
  <si>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</si>
  <si>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</si>
  <si>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</si>
  <si>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</si>
  <si>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</si>
  <si>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</si>
  <si>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</si>
  <si>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</si>
  <si>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</si>
  <si>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</si>
  <si>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</si>
  <si>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</si>
  <si>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</si>
  <si>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</si>
  <si>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</si>
  <si>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</si>
  <si>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</si>
  <si>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</si>
  <si>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</si>
  <si>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</si>
  <si>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</si>
  <si>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</si>
  <si>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</si>
  <si>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</si>
  <si>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</si>
  <si>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</si>
  <si>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</si>
  <si>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</si>
  <si>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</si>
  <si>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</si>
  <si>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</si>
  <si>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</si>
  <si>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</si>
  <si>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</si>
  <si>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</si>
  <si>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</si>
  <si>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</si>
  <si>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</si>
  <si>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</si>
  <si>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</si>
  <si>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</si>
  <si>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</si>
  <si>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</si>
  <si>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</si>
  <si>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</si>
  <si>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</si>
  <si>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</si>
  <si>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</si>
  <si>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</si>
  <si>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</si>
  <si>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</si>
  <si>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</si>
  <si>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</si>
  <si>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</si>
  <si>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</si>
  <si>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</si>
  <si>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</si>
  <si>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</si>
  <si>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</si>
  <si>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</si>
  <si>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</si>
  <si>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</si>
  <si>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</si>
  <si>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</si>
  <si>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</si>
  <si>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</si>
  <si>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</si>
  <si>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</si>
  <si>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</si>
  <si>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</si>
  <si>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</si>
  <si>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</si>
  <si>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</si>
  <si>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</si>
  <si>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</si>
  <si>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</si>
  <si>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</si>
  <si>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</si>
  <si>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</si>
  <si>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</si>
  <si>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</si>
  <si>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</si>
  <si>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</si>
  <si>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</si>
  <si>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</si>
  <si>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</si>
  <si>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</si>
  <si>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</si>
  <si>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</si>
  <si>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</si>
  <si>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</si>
  <si>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</si>
  <si>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</si>
  <si>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</si>
  <si>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</si>
  <si>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</si>
  <si>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</si>
  <si>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</si>
  <si>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</si>
  <si>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</si>
  <si>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</si>
  <si>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</si>
  <si>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</si>
  <si>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</si>
  <si>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</si>
  <si>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</si>
  <si>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</si>
  <si>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</si>
  <si>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</si>
  <si>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</si>
  <si>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</si>
  <si>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</si>
  <si>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</si>
  <si>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</si>
  <si>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</si>
  <si>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</si>
  <si>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</si>
  <si>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</si>
  <si>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</si>
  <si>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</si>
  <si>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</si>
  <si>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</si>
  <si>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</si>
  <si>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</si>
  <si>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</si>
  <si>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</si>
  <si>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</si>
  <si>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</si>
  <si>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</si>
  <si>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</si>
  <si>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</si>
  <si>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</si>
  <si>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</si>
  <si>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</si>
  <si>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</si>
  <si>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</si>
  <si>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</si>
  <si>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</si>
  <si>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</si>
  <si>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</si>
  <si>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</si>
  <si>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</si>
  <si>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</si>
  <si>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</si>
  <si>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</si>
  <si>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</si>
  <si>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</si>
  <si>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</si>
  <si>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</si>
  <si>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</si>
  <si>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</si>
  <si>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</si>
  <si>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</si>
  <si>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</si>
  <si>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</si>
  <si>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</si>
  <si>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</si>
  <si>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</si>
  <si>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</si>
  <si>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</si>
  <si>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</si>
  <si>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</si>
  <si>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</si>
  <si>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</si>
  <si>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</si>
  <si>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</si>
  <si>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</si>
  <si>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</si>
  <si>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</si>
  <si>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</si>
  <si>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</si>
  <si>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</si>
  <si>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</si>
  <si>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</si>
  <si>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</si>
  <si>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</si>
  <si>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</si>
  <si>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</si>
  <si>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</si>
  <si>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</si>
  <si>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</si>
  <si>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</si>
  <si>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</si>
  <si>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</si>
  <si>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</si>
  <si>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</si>
  <si>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</si>
  <si>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</si>
  <si>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</si>
  <si>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</si>
  <si>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</si>
  <si>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</si>
  <si>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</si>
  <si>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</si>
  <si>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</si>
  <si>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</si>
  <si>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</si>
  <si>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</si>
  <si>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</si>
  <si>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</si>
  <si>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</si>
  <si>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</si>
  <si>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</si>
  <si>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</si>
  <si>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</si>
  <si>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</si>
  <si>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</si>
  <si>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</si>
  <si>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</si>
  <si>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</si>
  <si>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</si>
  <si>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</si>
  <si>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</si>
  <si>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</si>
  <si>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</si>
  <si>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</si>
  <si>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</si>
  <si>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</si>
  <si>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</si>
  <si>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</si>
  <si>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</si>
  <si>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</si>
  <si>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</si>
  <si>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</si>
  <si>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</si>
  <si>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</si>
  <si>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</si>
  <si>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</si>
  <si>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</si>
  <si>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</si>
  <si>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</si>
  <si>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</si>
  <si>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</si>
  <si>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</si>
  <si>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</si>
  <si>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</si>
  <si>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</si>
  <si>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</si>
  <si>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</si>
  <si>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</si>
  <si>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</si>
  <si>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</si>
  <si>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</si>
  <si>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</si>
  <si>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</si>
  <si>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</si>
  <si>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</si>
  <si>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</si>
  <si>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</si>
  <si>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</si>
  <si>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</si>
  <si>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</si>
  <si>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</si>
  <si>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</si>
  <si>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</si>
  <si>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</si>
  <si>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</si>
  <si>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</si>
  <si>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</si>
  <si>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</si>
  <si>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</si>
  <si>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</si>
  <si>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</si>
  <si>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</si>
  <si>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</si>
  <si>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</si>
  <si>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</si>
  <si>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</si>
  <si>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</si>
  <si>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</si>
  <si>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</si>
  <si>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</si>
  <si>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</si>
  <si>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</si>
  <si>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</si>
  <si>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</si>
  <si>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</si>
  <si>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</si>
  <si>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</si>
  <si>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</si>
  <si>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</si>
  <si>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</si>
  <si>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</si>
  <si>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</si>
  <si>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</si>
  <si>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</si>
  <si>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</si>
  <si>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</si>
  <si>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</si>
  <si>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</si>
  <si>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</si>
  <si>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</si>
  <si>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</si>
  <si>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</si>
  <si>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</si>
  <si>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</si>
  <si>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</si>
  <si>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</si>
  <si>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</si>
  <si>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</si>
  <si>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</si>
  <si>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</si>
  <si>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</si>
  <si>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</si>
  <si>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</si>
  <si>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</si>
  <si>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</si>
  <si>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</si>
  <si>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</si>
  <si>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</si>
  <si>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</si>
  <si>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</si>
  <si>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</si>
  <si>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</si>
  <si>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</si>
  <si>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</si>
  <si>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</si>
  <si>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</si>
  <si>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</si>
  <si>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</si>
  <si>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</si>
  <si>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</si>
  <si>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</si>
  <si>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</si>
  <si>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</si>
  <si>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</si>
  <si>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</si>
  <si>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</si>
  <si>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</si>
  <si>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</si>
  <si>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</si>
  <si>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</si>
  <si>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</si>
  <si>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</si>
  <si>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</si>
  <si>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</si>
  <si>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</si>
  <si>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</si>
  <si>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</si>
  <si>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</si>
  <si>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</si>
  <si>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</si>
  <si>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</si>
  <si>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</si>
  <si>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</si>
  <si>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</si>
  <si>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</si>
  <si>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</si>
  <si>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</si>
  <si>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</si>
  <si>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</si>
  <si>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</si>
  <si>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</si>
  <si>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</si>
  <si>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</si>
  <si>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</si>
  <si>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</si>
  <si>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</si>
  <si>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</si>
  <si>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</si>
  <si>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</si>
  <si>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</si>
  <si>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</si>
  <si>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</si>
  <si>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</si>
  <si>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</si>
  <si>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</si>
  <si>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</si>
  <si>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</si>
  <si>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</si>
  <si>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</si>
  <si>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</si>
  <si>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</si>
  <si>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</si>
  <si>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</si>
  <si>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</si>
  <si>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</si>
  <si>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</si>
  <si>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</si>
  <si>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</si>
  <si>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</si>
  <si>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</si>
  <si>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</si>
  <si>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</si>
  <si>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</si>
  <si>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</si>
  <si>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</si>
  <si>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</si>
  <si>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</si>
  <si>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</si>
  <si>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</si>
  <si>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</si>
  <si>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</si>
  <si>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</si>
  <si>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</si>
  <si>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</si>
  <si>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</si>
  <si>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</si>
  <si>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</si>
  <si>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</si>
  <si>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</si>
  <si>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</si>
  <si>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</si>
  <si>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</si>
  <si>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</si>
  <si>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</si>
  <si>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</si>
  <si>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</si>
  <si>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</si>
  <si>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</si>
  <si>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</si>
  <si>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</si>
  <si>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</si>
  <si>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</si>
  <si>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</si>
  <si>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</si>
  <si>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</si>
  <si>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</si>
  <si>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</si>
  <si>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</si>
  <si>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</si>
  <si>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</si>
  <si>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</si>
  <si>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</si>
  <si>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</si>
  <si>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</si>
  <si>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</si>
  <si>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</si>
  <si>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</si>
  <si>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</si>
  <si>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</si>
  <si>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</si>
  <si>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</si>
  <si>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</si>
  <si>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</si>
  <si>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</si>
  <si>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</si>
  <si>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</si>
  <si>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</si>
  <si>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</si>
  <si>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</si>
  <si>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</si>
  <si>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</si>
  <si>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</si>
  <si>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</si>
  <si>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</si>
  <si>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</si>
  <si>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</si>
  <si>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</si>
  <si>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</si>
  <si>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</si>
  <si>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</si>
  <si>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</si>
  <si>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</si>
  <si>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</si>
  <si>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</si>
  <si>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</si>
  <si>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</si>
  <si>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</si>
  <si>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</si>
  <si>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</si>
  <si>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</si>
  <si>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</si>
  <si>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</si>
  <si>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</si>
  <si>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</si>
  <si>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</si>
  <si>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</si>
  <si>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</si>
  <si>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</si>
  <si>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</si>
  <si>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</si>
  <si>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</si>
  <si>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</si>
  <si>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</si>
  <si>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</si>
  <si>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</si>
  <si>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</si>
  <si>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</si>
  <si>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</si>
  <si>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</si>
  <si>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</si>
  <si>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</si>
  <si>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</si>
  <si>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</si>
  <si>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</si>
  <si>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</si>
  <si>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</si>
  <si>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</si>
  <si>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</si>
  <si>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</si>
  <si>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</si>
  <si>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</si>
  <si>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</si>
  <si>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</si>
  <si>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</si>
  <si>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</si>
  <si>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</si>
  <si>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</si>
  <si>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</si>
  <si>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</si>
  <si>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</si>
  <si>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</si>
  <si>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</si>
  <si>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</si>
  <si>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</si>
  <si>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</si>
  <si>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</si>
  <si>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</si>
  <si>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</si>
  <si>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</si>
  <si>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</si>
  <si>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</si>
  <si>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</si>
  <si>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</si>
  <si>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</si>
  <si>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</si>
  <si>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</si>
  <si>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</si>
  <si>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</si>
  <si>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</si>
  <si>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</si>
  <si>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</si>
  <si>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</si>
  <si>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</si>
  <si>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</si>
  <si>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</si>
  <si>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</si>
  <si>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</si>
  <si>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</si>
  <si>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</si>
  <si>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</si>
  <si>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</si>
  <si>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</si>
  <si>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</si>
  <si>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</si>
  <si>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</si>
  <si>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</si>
  <si>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</si>
  <si>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</si>
  <si>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</si>
  <si>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</si>
  <si>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</si>
  <si>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</si>
  <si>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</si>
  <si>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</si>
  <si>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</si>
  <si>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</si>
  <si>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</si>
  <si>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</si>
  <si>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</si>
  <si>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</si>
  <si>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</si>
  <si>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</si>
  <si>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</si>
  <si>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</si>
  <si>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</si>
  <si>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</si>
  <si>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</si>
  <si>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</si>
  <si>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</si>
  <si>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</si>
  <si>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</si>
  <si>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</si>
  <si>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</si>
  <si>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</si>
  <si>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</si>
  <si>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</si>
  <si>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</si>
  <si>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</si>
  <si>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</si>
  <si>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</si>
  <si>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</si>
  <si>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</si>
  <si>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</si>
  <si>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</si>
  <si>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</si>
  <si>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</si>
  <si>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</si>
  <si>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</si>
  <si>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</si>
  <si>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</si>
  <si>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</si>
  <si>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</si>
  <si>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</si>
  <si>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</si>
  <si>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</si>
  <si>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</si>
  <si>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</si>
  <si>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</si>
  <si>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</si>
  <si>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</si>
  <si>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</si>
  <si>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</si>
  <si>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</si>
  <si>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</si>
  <si>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</si>
  <si>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</si>
  <si>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</si>
  <si>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</si>
  <si>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</si>
  <si>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</si>
  <si>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</si>
  <si>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</si>
  <si>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</si>
  <si>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</si>
  <si>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</si>
  <si>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</si>
  <si>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</si>
  <si>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</si>
  <si>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</si>
  <si>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</si>
  <si>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</si>
  <si>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</si>
  <si>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</si>
  <si>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</si>
  <si>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</si>
  <si>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</si>
  <si>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</si>
  <si>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</si>
  <si>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</si>
  <si>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</si>
  <si>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</si>
  <si>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</si>
  <si>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</si>
  <si>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</si>
  <si>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</si>
  <si>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</si>
  <si>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</si>
  <si>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</si>
  <si>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</si>
  <si>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</si>
  <si>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</si>
  <si>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</si>
  <si>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</si>
  <si>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</si>
  <si>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</si>
  <si>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</si>
  <si>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</si>
  <si>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</si>
  <si>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</si>
  <si>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</si>
  <si>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</si>
  <si>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</si>
  <si>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</si>
  <si>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</si>
  <si>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</si>
  <si>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</si>
  <si>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</si>
  <si>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</si>
  <si>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</si>
  <si>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</si>
  <si>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</si>
  <si>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</si>
  <si>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</si>
  <si>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</si>
  <si>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</si>
  <si>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</si>
  <si>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</si>
  <si>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</si>
  <si>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</si>
  <si>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</si>
  <si>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</si>
  <si>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</si>
  <si>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</si>
  <si>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</si>
  <si>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</si>
  <si>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</si>
  <si>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</si>
  <si>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</si>
  <si>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</si>
  <si>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</si>
  <si>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</si>
  <si>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</si>
  <si>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</si>
  <si>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</si>
  <si>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</si>
  <si>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</si>
  <si>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</si>
  <si>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</si>
  <si>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</si>
  <si>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</si>
  <si>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</si>
  <si>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</si>
  <si>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</si>
  <si>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</si>
  <si>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</si>
  <si>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</si>
  <si>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</si>
  <si>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</si>
  <si>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</si>
  <si>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</si>
  <si>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</si>
  <si>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</si>
  <si>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</si>
  <si>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</si>
  <si>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</si>
  <si>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</si>
  <si>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</si>
  <si>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</si>
  <si>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</si>
  <si>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</si>
  <si>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</si>
  <si>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</si>
  <si>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</si>
  <si>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</si>
  <si>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</si>
  <si>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</si>
  <si>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</si>
  <si>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</si>
  <si>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</si>
  <si>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</si>
  <si>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</si>
  <si>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</si>
  <si>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</si>
  <si>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</si>
  <si>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</si>
  <si>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</si>
  <si>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</si>
  <si>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</si>
  <si>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</si>
  <si>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</si>
  <si>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</si>
  <si>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</si>
  <si>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</si>
  <si>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</si>
  <si>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</si>
  <si>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</si>
  <si>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</si>
  <si>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</si>
  <si>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</si>
  <si>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</si>
  <si>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</si>
  <si>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</si>
  <si>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</si>
  <si>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</si>
  <si>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</si>
  <si>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</si>
  <si>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</si>
  <si>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</si>
  <si>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</si>
  <si>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</si>
  <si>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</si>
  <si>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</si>
  <si>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</si>
  <si>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</si>
  <si>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</si>
  <si>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</si>
  <si>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</si>
  <si>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</si>
  <si>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</si>
  <si>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</si>
  <si>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</si>
  <si>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</si>
  <si>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</si>
  <si>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</si>
  <si>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</si>
  <si>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</si>
  <si>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</si>
  <si>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</si>
  <si>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</si>
  <si>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</si>
  <si>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</si>
  <si>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</si>
  <si>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</si>
  <si>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</si>
  <si>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</si>
  <si>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</si>
  <si>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</si>
  <si>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</si>
  <si>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</si>
  <si>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</si>
  <si>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</si>
  <si>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</si>
  <si>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</si>
  <si>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</si>
  <si>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</si>
  <si>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</si>
  <si>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</si>
  <si>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</si>
  <si>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</si>
  <si>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</si>
  <si>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</si>
  <si>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</si>
  <si>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</si>
  <si>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</si>
  <si>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</si>
  <si>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</si>
  <si>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</si>
  <si>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</si>
  <si>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</si>
  <si>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</si>
  <si>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</si>
  <si>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</si>
  <si>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</si>
  <si>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</si>
  <si>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</si>
  <si>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</si>
  <si>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</si>
  <si>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</si>
  <si>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</si>
  <si>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</si>
  <si>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</si>
  <si>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</si>
  <si>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</si>
  <si>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</si>
  <si>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</si>
  <si>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</si>
  <si>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</si>
  <si>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</si>
  <si>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</si>
  <si>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</si>
  <si>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</si>
  <si>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</si>
  <si>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</si>
  <si>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</si>
  <si>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</si>
  <si>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</si>
  <si>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</si>
  <si>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</si>
  <si>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</si>
  <si>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</si>
  <si>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</si>
  <si>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</si>
  <si>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</si>
  <si>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</si>
  <si>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</si>
  <si>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</si>
  <si>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</si>
  <si>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</si>
  <si>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</si>
  <si>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</si>
  <si>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</si>
  <si>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</si>
  <si>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</si>
  <si>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</si>
  <si>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</si>
  <si>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</si>
  <si>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</si>
  <si>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</si>
  <si>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</si>
  <si>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</si>
  <si>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</si>
  <si>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</si>
  <si>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</si>
  <si>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</si>
  <si>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</si>
  <si>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</si>
  <si>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</si>
  <si>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</si>
  <si>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</si>
  <si>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</si>
  <si>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</si>
  <si>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</si>
  <si>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</si>
  <si>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</si>
  <si>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</si>
  <si>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</si>
  <si>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</si>
  <si>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</si>
  <si>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</si>
  <si>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</si>
  <si>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</si>
  <si>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</si>
  <si>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</si>
  <si>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</si>
  <si>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</si>
  <si>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</si>
  <si>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</si>
  <si>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</si>
  <si>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</si>
  <si>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</si>
  <si>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</si>
  <si>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</si>
  <si>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</si>
  <si>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</si>
  <si>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</si>
  <si>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</si>
  <si>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</si>
  <si>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</si>
  <si>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</si>
  <si>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</si>
  <si>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</si>
  <si>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</si>
  <si>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</si>
  <si>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</si>
  <si>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</si>
  <si>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</si>
  <si>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</si>
  <si>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</si>
  <si>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</si>
  <si>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</si>
  <si>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</si>
  <si>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</si>
  <si>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</si>
  <si>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</si>
  <si>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</si>
  <si>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</si>
  <si>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</si>
  <si>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</si>
  <si>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</si>
  <si>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</si>
  <si>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</si>
  <si>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</si>
  <si>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</si>
  <si>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</si>
  <si>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</si>
  <si>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</si>
  <si>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</si>
  <si>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</si>
  <si>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</si>
  <si>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</si>
  <si>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</si>
  <si>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</si>
  <si>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</si>
  <si>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</si>
  <si>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</si>
  <si>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</si>
  <si>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</si>
  <si>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</si>
  <si>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</si>
  <si>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</si>
  <si>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</si>
  <si>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</si>
  <si>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</si>
  <si>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</si>
  <si>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</si>
  <si>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</si>
  <si>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</si>
  <si>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</si>
  <si>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</si>
  <si>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</si>
  <si>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</si>
  <si>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</si>
  <si>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</si>
  <si>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</si>
  <si>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</si>
  <si>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</si>
  <si>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</si>
  <si>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</si>
  <si>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</si>
  <si>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</si>
  <si>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</si>
  <si>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</si>
  <si>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</si>
  <si>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</si>
  <si>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</si>
  <si>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</si>
  <si>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</si>
  <si>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</si>
  <si>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</si>
  <si>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</si>
  <si>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</si>
  <si>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</si>
  <si>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</si>
  <si>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</si>
  <si>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</si>
  <si>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</si>
  <si>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</si>
  <si>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</si>
  <si>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</si>
  <si>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</si>
  <si>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</si>
  <si>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</si>
  <si>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</si>
  <si>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</si>
  <si>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</si>
  <si>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</si>
  <si>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</si>
  <si>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</si>
  <si>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</si>
  <si>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</si>
  <si>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</si>
  <si>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</si>
  <si>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</si>
  <si>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</si>
  <si>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</si>
  <si>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</si>
  <si>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</si>
  <si>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</si>
  <si>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</si>
  <si>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</si>
  <si>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</si>
  <si>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</si>
  <si>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</si>
  <si>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</si>
  <si>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</si>
  <si>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</si>
  <si>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</si>
  <si>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</si>
  <si>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</si>
  <si>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</si>
  <si>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</si>
  <si>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</si>
  <si>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</si>
  <si>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</si>
  <si>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</si>
  <si>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</si>
  <si>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</si>
  <si>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</si>
  <si>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</si>
  <si>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</si>
  <si>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</si>
  <si>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</si>
  <si>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</si>
  <si>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</si>
  <si>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</si>
  <si>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</si>
  <si>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</si>
  <si>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</si>
  <si>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</si>
  <si>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</si>
  <si>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</si>
  <si>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</si>
  <si>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</si>
  <si>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</si>
  <si>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</si>
  <si>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</si>
  <si>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</si>
  <si>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</si>
  <si>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</si>
  <si>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</si>
  <si>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</si>
  <si>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</si>
  <si>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</si>
  <si>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</si>
  <si>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</si>
  <si>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</si>
  <si>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</si>
  <si>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</si>
  <si>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</si>
  <si>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</si>
  <si>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</si>
  <si>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</si>
  <si>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</si>
  <si>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</si>
  <si>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</si>
  <si>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</si>
  <si>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</si>
  <si>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</si>
  <si>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</si>
  <si>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</si>
  <si>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</si>
  <si>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</si>
  <si>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</si>
  <si>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</si>
  <si>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</si>
  <si>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</si>
  <si>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</si>
  <si>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</si>
  <si>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</si>
  <si>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</si>
  <si>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</si>
  <si>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</si>
  <si>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</si>
  <si>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</si>
  <si>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</si>
  <si>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</si>
  <si>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</si>
  <si>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</si>
  <si>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</si>
  <si>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</si>
  <si>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</si>
  <si>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</si>
  <si>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</si>
  <si>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</si>
  <si>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</si>
  <si>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</si>
  <si>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</si>
  <si>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</si>
  <si>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</si>
  <si>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</si>
  <si>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</si>
  <si>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</si>
  <si>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</si>
  <si>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</si>
  <si>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</si>
  <si>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</si>
  <si>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</si>
  <si>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</si>
  <si>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</si>
  <si>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</si>
  <si>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</si>
  <si>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</si>
  <si>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</si>
  <si>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</si>
  <si>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</si>
  <si>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</si>
  <si>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</si>
  <si>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</si>
  <si>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</si>
  <si>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</si>
  <si>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</si>
  <si>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</si>
  <si>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</si>
  <si>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</si>
  <si>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</si>
  <si>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</si>
  <si>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</si>
  <si>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</si>
  <si>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</si>
  <si>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</si>
  <si>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</si>
  <si>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</si>
  <si>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</si>
  <si>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</si>
  <si>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</si>
  <si>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</si>
  <si>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</si>
  <si>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</si>
  <si>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</si>
  <si>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</si>
  <si>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</si>
  <si>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</si>
  <si>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</si>
  <si>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</si>
  <si>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</si>
  <si>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</si>
  <si>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</si>
  <si>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</si>
  <si>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</si>
  <si>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</si>
  <si>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</si>
  <si>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</si>
  <si>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</si>
  <si>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</si>
  <si>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</si>
  <si>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</si>
  <si>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</si>
  <si>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</si>
  <si>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</si>
  <si>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</si>
  <si>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</si>
  <si>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</si>
  <si>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</si>
  <si>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</si>
  <si>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</si>
  <si>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</si>
  <si>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</si>
  <si>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</si>
  <si>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</si>
  <si>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</si>
  <si>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</si>
  <si>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</si>
  <si>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</si>
  <si>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</si>
  <si>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</si>
  <si>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</si>
  <si>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</si>
  <si>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</si>
  <si>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</si>
  <si>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</si>
  <si>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</si>
  <si>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</si>
  <si>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</si>
  <si>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</si>
  <si>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</si>
  <si>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</si>
  <si>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</si>
  <si>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</si>
  <si>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</si>
  <si>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Stacey Abernathy</t>
  </si>
  <si>
    <t>Executive Director</t>
  </si>
  <si>
    <t>420 Richardson Road #57</t>
  </si>
  <si>
    <t>cahdi@bellsouth.net</t>
  </si>
  <si>
    <t>Cherokee Mill Lofts</t>
  </si>
  <si>
    <t>No</t>
  </si>
  <si>
    <t>305 McConnell Road</t>
  </si>
  <si>
    <t>Yes</t>
  </si>
  <si>
    <t>City of Calhoun</t>
  </si>
  <si>
    <t>Family</t>
  </si>
  <si>
    <t>Cherokee Mill Lofts, LLC</t>
  </si>
  <si>
    <t>420 Richardson Road, #57</t>
  </si>
  <si>
    <t>To be issued</t>
  </si>
  <si>
    <t>Calhoun Affordable Development, Inc.</t>
  </si>
  <si>
    <t>Landmark Asset Services, Inc.</t>
  </si>
  <si>
    <t>Richard C. Angino</t>
  </si>
  <si>
    <t>406 East Fourth Street</t>
  </si>
  <si>
    <t>President</t>
  </si>
  <si>
    <t>Winston Salem</t>
  </si>
  <si>
    <t>devadmin@landmarkdevelopment.biz</t>
  </si>
  <si>
    <t>Calhoun Affordable Housing Development, Inc.</t>
  </si>
  <si>
    <t xml:space="preserve">Calhoun  </t>
  </si>
  <si>
    <t>Archetypes, LLC</t>
  </si>
  <si>
    <t>DeWayne H. Anderson, Sr.</t>
  </si>
  <si>
    <t>Managing Member</t>
  </si>
  <si>
    <t>Rehab Builders, Inc.</t>
  </si>
  <si>
    <t>Ed Lipsky</t>
  </si>
  <si>
    <t>401 East Fourth Street, Suite 201</t>
  </si>
  <si>
    <t>ed@rehabbuilders.com</t>
  </si>
  <si>
    <t>Landmark Property Management Company</t>
  </si>
  <si>
    <t>Blair Maas</t>
  </si>
  <si>
    <t>Director</t>
  </si>
  <si>
    <t>blair@landmarkdevelopment.biz</t>
  </si>
  <si>
    <t>Smith, Lewis &amp; Haley, LLP</t>
  </si>
  <si>
    <t>David C. Smith</t>
  </si>
  <si>
    <t>901 N. Broad Street, Suite 350</t>
  </si>
  <si>
    <t>Attorney</t>
  </si>
  <si>
    <t>davidcsmith@gmail.com</t>
  </si>
  <si>
    <t>O. Douglas Covington, CPA, P.A.</t>
  </si>
  <si>
    <t>Doug Covington</t>
  </si>
  <si>
    <t>1031 Summit Avenue, Suite 2E-1</t>
  </si>
  <si>
    <t>dougcovington@me.com</t>
  </si>
  <si>
    <t>HADP Architecture, Inc.</t>
  </si>
  <si>
    <t>Richard Aiken</t>
  </si>
  <si>
    <t>2722 Piedmont Road, N.E.</t>
  </si>
  <si>
    <t>Architect</t>
  </si>
  <si>
    <t>raiken@hadpmail.com</t>
  </si>
  <si>
    <t>For Profit</t>
  </si>
  <si>
    <t>Georgia Department of Community Affairs</t>
  </si>
  <si>
    <t>Environmental Abatement</t>
  </si>
  <si>
    <t>DDA/QCT</t>
  </si>
  <si>
    <t>226 S. Wall Street</t>
  </si>
  <si>
    <t>706-629-0151</t>
  </si>
  <si>
    <t>James F. Palmer</t>
  </si>
  <si>
    <t>Mayor</t>
  </si>
  <si>
    <t>Monroe Elementary Apartments</t>
  </si>
  <si>
    <t>Community Affordable Housinhg Equity Corporation (CAHEC)</t>
  </si>
  <si>
    <t>Phillip Wilkie</t>
  </si>
  <si>
    <t>7700 Falls of Neuse Road, Suite 200</t>
  </si>
  <si>
    <t>Acquisition Officer</t>
  </si>
  <si>
    <t>Raleigh</t>
  </si>
  <si>
    <t>pwilkie@cahec.com</t>
  </si>
  <si>
    <t>Carolina Bank</t>
  </si>
  <si>
    <t>CAHEC</t>
  </si>
  <si>
    <t>Utility Allowance amounts obtained from GA DCA website - Northern Region.</t>
  </si>
  <si>
    <t>Payroll Tax and Worker's Compensation</t>
  </si>
  <si>
    <t>Fire alarm &amp; sprinkler maintenance/monitoring</t>
  </si>
  <si>
    <t>Auditing</t>
  </si>
  <si>
    <t>Licenses and Permits</t>
  </si>
  <si>
    <t>Electric Heat Pump</t>
  </si>
  <si>
    <t xml:space="preserve">Established in 2004, Calhoun Affordable Housing Development, Inc. (CAHD) is a 501(c )(3) corporation and certified as a CHDO to act as the lead developer of affordable housing for people with low incomes in Gordon County. Its mission is “to create housing communities that are affordable to people with low incomes as defined Georgia DCA.  The housing is to be of high quality, energy efficient, ecologically sensitive in design, and enriched with services for the targeted tenant population.”  Its methods include using a full array of state and federal loans, grants, bonds, tax credits, HUD and USDA program funds,.
CAHD seeks to “create partnerships with individuals, governmental agencies and other entities to generate quality development, and to provide housing and services that are affordable to low income families, thereby encouraging them to gain independence in their daily living through supportive services.”  Its goal is “to provide affordable housing opportunities in locations where low income populations will have access to educational, community, financial, recreational, or other critical resources.” Having successfully developed East Gate Apartments which is 100% occupied and has a wait list, the Board of Directors and Executive Director saw a perfect fit between their mission, methods and goals and DCA’s  Low Income Housing Tax Credits (LIHTC) program and is applying in the 2012 Rural Set-Aside for "Cherokee Mill Lofts" .  
The City of Calhoun was equally eager to lend its support to this undertaking, since the proposed adaptive reuse of the now-vacant 114,000 sq. ft. former O’Jay Mills on 4.34 acres in downtown Calhoun.  Adaptive reuse will fulfill the Calhoun Redevelopment Plan, having the most significant impact of any effort since the Plan adoption.
“Cherokee Mill Lofts” is the proposed $9.7million adaptive reuse of the former O’Jay Mills property at 305 McConnell Rd (north of Oothcalooga St.), in Calhoun, Georgia, for the purpose of providing sixty (60) units of affordable yet unique rental apartments and amenities for families earning up to 60% area median income (AMI).  Proposed are 12 one-, 30 two- and 18 three-bedroom units, averaging 780 sf, 1,052 sf and 1,128 sf, respectively.  Of these, 48 are to be garden style and 12, loft style units. 
Cherokee Mill Lofts’ rehabilitation is unique.  It builds individual energy-efficient units inside a larger facility with a tall undulating roof deck allowing the original industrial roof structure and shape to be retained; it retains and repurposes existing roof-mounted vertical exhaust fans as "skylights"  to allow light to cascade downward into the residential hallways and units increasing the feeling of spaciousness; it reduces the impervious surface ration of the existing physical plant by replacing paved areas with greenery; removing roof sections to create interior open-to-sky green spaces that create window-walls for units facing the open spaces, to create patios for units along Oothcalooga St. allowing the existing exterior wall to act as a sound buffer, and to provide window-wall for townhouse units that face the interior parking garage; and providing 53 spaces of interior parking in a spacious clear span (former) warehouse.  It converts the former employee parking area into a grassed playfield, 31 parking spaces and a tot lot, retaining the historical footprint from the facility’s heyday as a Chenille manufacturing plant.  All units will feature existing but refurbished large industrial type windows, and other historical elements that will be reminiscent of the former mill that was constructed in 1940’s with additions in 1948 - 1964.  Leasing office, computer room, fitness room, two laundry locations (with washer and dryer hook-ups in every apartment as well) and community room with kitchenette will serve residents well. It diversifies the housing stock, providing new and different housing choices to the persons and families DCA is seeking to serve.
</t>
  </si>
  <si>
    <t>PA12-10</t>
  </si>
  <si>
    <t>Family development will encourage community activities by its central/downtown location.</t>
  </si>
  <si>
    <t>Agree</t>
  </si>
  <si>
    <t>Management works with the on-site staff to form a Resident Assocation and to link with community services to bring programs on-site such as budgeting classes, exercise, movie nights, pot luck dinners, monthly birthday socials and holiday gatherings, etc.</t>
  </si>
  <si>
    <t>John Wall and Associates</t>
  </si>
  <si>
    <t>120 days</t>
  </si>
  <si>
    <t>3 months beyond the 120 days to stabilize</t>
  </si>
  <si>
    <t>Maxis Engineering</t>
  </si>
  <si>
    <t>Contract/Option</t>
  </si>
  <si>
    <t>City of Calhoun, Calhoun Utilities</t>
  </si>
  <si>
    <t>Room</t>
  </si>
  <si>
    <t>Gazebo</t>
  </si>
  <si>
    <t>On-site laundry</t>
  </si>
  <si>
    <t>Computer Room</t>
  </si>
  <si>
    <t>Fitness Room</t>
  </si>
  <si>
    <t>As noted in the Market Study and in addition to the above requirements, the units will include dishwashers, in-sink disposal, carpeting, window coverings (blinds), ceiling fans, and washer/dryer hook-ups in all units.  Additional amenities include, interior open-air common space and both covered and open parking spaces.  Some of the units will be loft style and some will have courtyards.</t>
  </si>
  <si>
    <t>Wholesale</t>
  </si>
  <si>
    <t>Newbanks, Inc.</t>
  </si>
  <si>
    <t>Although we selected "Wholesale" as the type of rehab , this develolpment will actually be an adaptive reuse of an existing mill to an affordable housing community.</t>
  </si>
  <si>
    <t xml:space="preserve">Mobility and hearing and sight-impaired equipped units are identified in Part I, Section VI, B and C.  </t>
  </si>
  <si>
    <t xml:space="preserve">Architectural waiver obtained and included behind Tab 4. </t>
  </si>
  <si>
    <t>Although we are presenting under Rehabilitation due to physical adaptive reuse of an existing building previously used for purposes other than housing, there are no current tenants and thus no relocation or displacement.</t>
  </si>
  <si>
    <t>The proposed property is not a Special Needs Project.  However, if selected, prior to issuance of the 8609s, a marketing plan will be submitted in accordance with the above and 2012 QAP.</t>
  </si>
  <si>
    <t>Mill</t>
  </si>
  <si>
    <t>Earth Craft House Multifamily</t>
  </si>
  <si>
    <t>Statutory Redevelopment Plan</t>
  </si>
  <si>
    <t>Georgia Institute for Community Housing Community</t>
  </si>
  <si>
    <t>Pass</t>
  </si>
  <si>
    <t xml:space="preserve">DCA may elect to give one submitted Application six (6) points if it determines that the project (A) represents a superior project concept that has “community changing” effect on the neighborhood or (B) represents a unique concept or design or (C) will meet an overriding DCA policy objective not generally addressed in tax credit projects.
Though fully articulated by the full DCA tax credit application, the manner in which Cherokee Mill Lofts contribute to these three goals is address briefly as follows:
(A) As, by far, the largest and most significant property in the Western Calhoun Urban Redevelopment Plan Area and as the major blighting influence in the vicinity, adaptive reuse of the former O-Jay Mills property as 60 units of affordable housing for families will have a “community changing effect” on its neighborhood. City Administrator Eddie Peterson states that “this is the most significant redevelopment project ever undertaken in its vicinity.” Please see the attached letter dated July 19, 2010 under Tab 39.
(B) As shown in the application, Cherokee Mill Lofts’ concept and design are unique in significant ways, including:
1.  Constructing 60 units on one interior floor, all inter-connected and 100% handicap accessible. 
2.  Building individual energy-efficient (self-contained) units inside a larger facility with tall undulating roof deck allowing the original industrial roof structure and shape to be retained. 
3. Retaining and rehabilitating existing roof-mounted vertical exhaust fan houses as window houses to allow light to cascade downward into the residential hallways and units.
4. Reducing the impervious surface ratio of the existing physical plant by replacing paved areas with greenery.
5. Removing roof sections to create interior open-to-sky green spaces that create window-walls for units facing the open spaces. 
6. Creating patios for units along Oothcalooga St. allowing the existing exterior wall to act as a sound buffer, and 
6. Providing window-wall for townhouse units that face the interior parking garage; and providing 55 spaces of interior parking in a spacious clear span (former) warehouse.  It converts the former employee parking area into a grassed playfield, 31 parking spaces and a tot lot, retaining the historical footprint from the facility’s heyday as a Chenille manufacturing plant. Overall, the concept or design is different from all other tax credit projects.
(C) Cherokee Mill Lofts will meet an overriding DCA policy objective not generally addressed in tax credit projects, including the following.
1. Preserving Historic Fabric:  The State Historic Preservation Office indicates that this property “should be considered for listing on the National Register of Historic Places.”  It has achieved an Architectural Waiver that allows the historic undulating roof line to be maintained.  
2.  Creating jobs: Economic Development literature indicates that preservation of historic buildings creates more jobs than a comparable investment in new construction. Local economic impacts amount to 2.5 times the labor portion of the construction contract, which in this case is approximately $7.5million.
3. Expanding the array of housing stock options: Typically, affordable housing produces a predictable, though important, element of a community’s housing options.  Cherokee Mill Lofts will produce the most distinctive housing choice in Gordon County and beyond.  This is particularly striking since Gordon County is designated as a Difficult to Develop Area.  Bringing a unique product to a difficult area is an undertaking unto itself, one that should be appreciated in the local housing market.
4.  Green infill redevelopment: In Cherokee Mill Lofts, DCA gets to use infrastructure where it already exists rather than having to extend utilities into the hinterland.  It fosters sustainable development by rehabilitating (i.e. sustaining) an existing structure, stretching yesterday’s investment into the future.  As such, this development has direct spillover into Calhoun’s downtown revitalization effort, as evidenced by the constant involvement by the City’s Downtown Development Director and City Administrator in the development of the 2010, 2011 and 2012 LIHTC applications to DCA.  
5.  Empowerment of non-profit CHDO: While the DCA QAP does recognize the involvement of non-profits in housing production, Cherokee Mill Lofts is unique in that it does so in light of all the other aforementioned goals and policy objectives.  This is truly a multi-faceted example of community development at its finest…empowering local organizations and building people while constructing essential affordable housing. 
In summary, no other project submitted in the June 14, 2012 Georgia LIHTC tax credit round will have as much turn-around impact as Cherokee Mill Lofts.  It literally turns a “sow’s ear into a silk purse!”  At the corner of McConnell Rd. and Oothcalooga St., this highly visible make-over will be a signature property for DCA and will be lauded on many levels as a major achievement in much more than housing alone.  It will be catalytic in ways that are unforeseen, that will carry over for years in the lives of people who live in and pass through this Calhoun, Georgia. 
</t>
  </si>
  <si>
    <t>Competitive Round</t>
  </si>
  <si>
    <t>Edward W. Collins</t>
  </si>
  <si>
    <t>No HOME and no identity of interest, however CDBG funds have been applied for and thus an appraisal is included behind Tab 32.  Tab 11 includes evidence of proper zoning.</t>
  </si>
  <si>
    <t>Arpeggio Acoustic Consulting, LLC</t>
  </si>
  <si>
    <t>Vapor Intrusion</t>
  </si>
  <si>
    <t>The development budget includes amounts suggested by the environmental consultant to remediate items identified and noted above and in the Environmental Study behind Tab 33.  Noise will be mitigated during construction and associated costs are reflected in the Schedule of Values included behind Tab 8.</t>
  </si>
  <si>
    <t>The Agreement for Purchase and Sale of Real Property is located behind Tab 9.</t>
  </si>
  <si>
    <t>The property is conveniently located and accessed via McConnell Road as shown on the survey (behind Tab 10) and the site plan (behind Tab 15).</t>
  </si>
  <si>
    <t>Proper zoning evidence is provided behind Tab 11.</t>
  </si>
  <si>
    <t>Tab 12 includes the letter of service availability and capacity from City of Calhoun, Calhoun Utilities.</t>
  </si>
  <si>
    <t xml:space="preserve">Tab 12 includes the letter of water and sewer availability from the City of Calhou.  Tab 8 contains calculations for sewer and tap fees.  </t>
  </si>
  <si>
    <t>Above information is included behind Tab 13.</t>
  </si>
  <si>
    <t>The Conceptual Site Development Plan is located behind Tab 15.</t>
  </si>
  <si>
    <t>Qualified without Conditions</t>
  </si>
  <si>
    <t>The pre-application qualification is located behind Tab 4.</t>
  </si>
  <si>
    <t>Above referenced legal opinions are located behind Tabs 17 &amp; 2, respectively.</t>
  </si>
  <si>
    <t>Since submission of this property for the last two years, all parties (City of Calhoun, CAHDI and Landmark) have remained committed to pursuit of this affordable housing solution with DCA.  Costs, design,presentation of the property's unique details, etc. have been further refined to optimize GA DCA resources.</t>
  </si>
  <si>
    <t>* To all applicants: please provide methodology for determining applicable construction hard costs.
In support of the proposed property, Water and Sewer Tap fees have been waived as documented under Tab 8.</t>
  </si>
  <si>
    <t xml:space="preserve">*To all Applicants: Real estate taxes shown in Operating Budget should be prior to any tax abatement.  Please provide methodology for real estate tax calculation. 
Real Estate Tax estimate is calculated based on the NOI method, same as used for other LIHTC properties in the jurisdiction, as confirmed with the City of Calhoun Tax Office.
**To all Applicants: Please provide methodology for insurance calculation.
Insurance is based on blanket rates for other LIHTC properties managed by LPMC.
Estimates of calculations are included behind Tab 8.  </t>
  </si>
  <si>
    <t xml:space="preserve">It is important to realize that the apartment modules are set back 12 feet from the inside of an existing exterior wall of the former O’Jay Mill building.  This wall acts as pre-existing sound attenuating structure.   With no further mitigation, the NAL shown at the apartment unit wall for Oothcalooga Street is 60 db and 2500 feet from the CSX railroad is 60 db.  The highest reading on site is 65 db on the south side of the building where the outside wall of the unit is actually the outside wall of the mill building itself.  </t>
  </si>
  <si>
    <t xml:space="preserve">The 114,000 square foot former O-Jay Mills building was historically a Chinelle factory employing hundreds of people.  Now it has an opportunity for renewed economic life through historically sensitive conversion into 60 units of affordable housing for families. Loft and garden-style units of one-, two-, and three-bedroom units all fronting the out of doors or windowed onto open-to-sky  greenspaces, built-in multi-purpose community space, and covered parking, will make this property the most unique apartments in Calhoun.  </t>
  </si>
  <si>
    <t xml:space="preserve">The project is committed to obtaining the Earthcraft Multifamity Certified program level by achieving at least 100 points.  Cherokee Mill starts sustainability by being an older building, as noted by the City’s Historic Preservation Commission:  “the most green new developments are those that rehab an existing building not currently in use – this does not create a new footprint, but steps into one that is already here”. The co-developer was awarded The Earthcraft 2012 Builders Award for its similar effort in Martinsville, Virginia. </t>
  </si>
  <si>
    <t xml:space="preserve">The West Calhoun Urban Redevelopment Plan was adopted in 2009, having been formulated by the City of Calhoun under O.C.G.A. Sec. 36-61 et. seq. . It  clearly targets the neighborhood around 305 McConnell Rd, the specific neighborhood in which the proposed project is located.  The Redevelopment Plan is current, ongoing and directly affects the site on its eastern boundary.  Cherokee  Mill Lofts is a  direct fulfillment of the redevelopment planning under the aforementioned statutes. </t>
  </si>
  <si>
    <t xml:space="preserve">There are no comparable DCA properties in the PMA.  There are no DCA funded projects within  the PMA with less than 90% occupancy.  The market study indicates stabilized occupancy within 120 days, much quicker than the maximum 24 months.  There are no DCA project within the PMA that have been unable to convert to permanent financing.  There have been no significant changes in  economic conditions which would detrimentally affect the long termh viability of the proposed project an its tenant population.  The market study does not indicate that foreclosures in the PMA detrimentally affect the proposed project.  The proposed rents are well below the comparable rents.  We do not believe that the proposed PMA is overestimated.  </t>
  </si>
  <si>
    <t>Re: 15.A.1.a, CDBG RDF application is being reviewed by the Office of Ecomonic Development.  Notification award is expected by DCA July 13 deadline.  See Tab 30 documentation.</t>
  </si>
  <si>
    <t>Local Government Strategy for Neighborhood Rehabilitation</t>
  </si>
  <si>
    <t>Landmark Asset Services, Inc., Archetypes, LLC and Landmark Property Management Company share some common ownership and/or officers.
The equity investor (CAHEC) will purchase both the federal and state credits which is why ownership is shown as a 99.99% on the Federal line only and no ownership percentage reflected in the State LP line.</t>
  </si>
  <si>
    <t>The City of Calhoun has applied to the State of Georgia, Department of Community Affairs, Community Development and Finance Division, Office of Economic Development Community Development Block Grant (CDBG) Program, for a Redevelopment (RDF) Grant in the amount of $500,000 in support of the Cherokee Mill Lofts Project.  See Tab 5 - CDBG Documentation for more information regarding the alternative financing.  Notification of award is anticipated by July 13, 2012.</t>
  </si>
  <si>
    <t>Section 13 Local Gov't Support &amp; Community Engagement - Other</t>
  </si>
  <si>
    <t xml:space="preserve">The City of Calhoun has been aware of demand for affordable housing at this location, having invested $1.7 million in neighborhood infrastructure improvements since receiving a Signature Community Award grant in 2007 and adopting the West Calhoun Urban Redevelopment Plan in 2009.  Across Oothcalooga St. from the subject property, the school system is investing $10,000,000 to refurbish the high school. The Earthcraft 2012 Builders Award winning co-developer of Cherokee Mill Lofts will build self-contained energy efficient low-ceilinged modules inside the shell of the former Chenille plant making use of generous exterior window space and adapted industrial-style vertical skylights and open-to-sky open spaces throughout the building. The property will offer a number of covered parking spaces open to all tenants.  Cherokee Mill Lofts will offer the most unique apartments in the primary market area and beyond. </t>
  </si>
  <si>
    <t xml:space="preserve">Pursuanty to Q &amp; A answers, the Performance Workbook and DCA Compliance History has not been attached since the applicant received "Qualified without Conditions" finding in 2012.  The Organization Chart is included behind Tab 4 for convenience in reference.  </t>
  </si>
  <si>
    <t>Documentation supporting that CAHDI is a qualified nonprofit is included behind Tab 2. 21.F - supported by the First Amended &amp; Restated Operating Agreement (not a J-V Agrmt) under Tab 2 and the Development Agreement located behind Tab 2.</t>
  </si>
  <si>
    <t>2012-017</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</si>
</sst>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0" fillId="0" borderId="85" xfId="0" applyBorder="1" applyAlignment="1" applyProtection="1">
      <alignment horizontal="left" vertical="center"/>
    </xf>
    <xf numFmtId="10" fontId="12" fillId="5" borderId="84"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3">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topLeftCell="A194" zoomScale="95" zoomScaleNormal="95" workbookViewId="0">
      <selection activeCell="A194"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2012-017, Cherokee Mill Lofts, Gordon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3553</v>
      </c>
      <c r="B3" s="880"/>
      <c r="C3" s="880"/>
      <c r="D3" s="880"/>
      <c r="E3" s="880"/>
      <c r="F3" s="880"/>
      <c r="G3" s="880"/>
    </row>
    <row r="4" spans="1:9" s="40" customFormat="1" ht="8.25" customHeight="1">
      <c r="A4" s="95"/>
      <c r="B4" s="869" t="s">
        <v>1243</v>
      </c>
      <c r="C4" s="870"/>
      <c r="D4" s="870"/>
      <c r="E4" s="870" t="s">
        <v>3618</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3981</v>
      </c>
      <c r="I8" s="1235"/>
    </row>
    <row r="9" spans="1:9" s="40" customFormat="1" ht="12.6" customHeight="1" thickBot="1">
      <c r="A9" s="101"/>
      <c r="B9" s="789"/>
      <c r="C9" s="390"/>
      <c r="D9" s="390"/>
      <c r="E9" s="391" t="s">
        <v>3941</v>
      </c>
      <c r="F9" s="391"/>
      <c r="G9" s="1234" t="s">
        <v>3981</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3981</v>
      </c>
    </row>
    <row r="12" spans="1:9" s="40" customFormat="1" ht="12.6" customHeight="1">
      <c r="A12" s="386"/>
      <c r="B12" s="1237"/>
      <c r="C12" s="1237"/>
      <c r="D12" s="1237"/>
      <c r="E12" s="1236" t="s">
        <v>3942</v>
      </c>
      <c r="F12" s="395"/>
      <c r="G12" s="1234" t="s">
        <v>3981</v>
      </c>
    </row>
    <row r="13" spans="1:9" s="40" customFormat="1" ht="12.6" customHeight="1">
      <c r="A13" s="386"/>
      <c r="B13" s="1237"/>
      <c r="C13" s="1237"/>
      <c r="D13" s="1237"/>
      <c r="E13" s="1236" t="s">
        <v>3938</v>
      </c>
      <c r="F13" s="395"/>
      <c r="G13" s="1234" t="s">
        <v>3981</v>
      </c>
    </row>
    <row r="14" spans="1:9" s="40" customFormat="1" ht="12" customHeight="1">
      <c r="A14" s="101"/>
      <c r="B14" s="391"/>
      <c r="C14" s="391"/>
      <c r="D14" s="391"/>
      <c r="E14" s="392" t="s">
        <v>749</v>
      </c>
      <c r="F14" s="391"/>
      <c r="G14" s="1234" t="s">
        <v>3981</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3929</v>
      </c>
      <c r="F17" s="391"/>
      <c r="G17" s="1234" t="s">
        <v>3981</v>
      </c>
    </row>
    <row r="18" spans="1:7" s="40" customFormat="1" ht="12" customHeight="1">
      <c r="A18" s="101"/>
      <c r="B18" s="239"/>
      <c r="C18" s="789"/>
      <c r="D18" s="391"/>
      <c r="E18" s="391" t="s">
        <v>3968</v>
      </c>
      <c r="F18" s="391"/>
      <c r="G18" s="1234" t="s">
        <v>3981</v>
      </c>
    </row>
    <row r="19" spans="1:7" s="40" customFormat="1" ht="12" customHeight="1">
      <c r="A19" s="387">
        <v>2</v>
      </c>
      <c r="B19" s="394" t="s">
        <v>3914</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3903</v>
      </c>
      <c r="D21" s="391"/>
      <c r="E21" s="391" t="s">
        <v>2001</v>
      </c>
      <c r="F21" s="391"/>
      <c r="G21" s="1234" t="s">
        <v>3981</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3900</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3495</v>
      </c>
      <c r="F25" s="391"/>
      <c r="G25" s="1234" t="s">
        <v>2104</v>
      </c>
    </row>
    <row r="26" spans="1:7" s="40" customFormat="1" ht="12" customHeight="1">
      <c r="A26" s="101"/>
      <c r="B26" s="391"/>
      <c r="C26" s="391"/>
      <c r="D26" s="391"/>
      <c r="E26" s="1236" t="s">
        <v>3277</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2678</v>
      </c>
      <c r="F28" s="391"/>
      <c r="G28" s="1234" t="s">
        <v>2104</v>
      </c>
    </row>
    <row r="29" spans="1:7" s="40" customFormat="1" ht="12" customHeight="1">
      <c r="A29" s="101"/>
      <c r="B29" s="391"/>
      <c r="C29" s="391"/>
      <c r="D29" s="391"/>
      <c r="E29" s="1236" t="s">
        <v>2679</v>
      </c>
      <c r="F29" s="391"/>
      <c r="G29" s="1234" t="s">
        <v>2104</v>
      </c>
    </row>
    <row r="30" spans="1:7" s="40" customFormat="1" ht="12" customHeight="1">
      <c r="A30" s="101"/>
      <c r="B30" s="391"/>
      <c r="C30" s="391"/>
      <c r="D30" s="391"/>
      <c r="E30" s="1236" t="s">
        <v>3957</v>
      </c>
      <c r="F30" s="391"/>
      <c r="G30" s="1234" t="s">
        <v>2104</v>
      </c>
    </row>
    <row r="31" spans="1:7" s="40" customFormat="1" ht="12" customHeight="1">
      <c r="A31" s="101"/>
      <c r="B31" s="239"/>
      <c r="D31" s="1236" t="s">
        <v>3649</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3901</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3915</v>
      </c>
      <c r="D35" s="393"/>
      <c r="E35" s="395" t="s">
        <v>3334</v>
      </c>
      <c r="F35" s="394"/>
      <c r="G35" s="1234" t="s">
        <v>3981</v>
      </c>
    </row>
    <row r="36" spans="1:7" s="40" customFormat="1" ht="12" customHeight="1">
      <c r="A36" s="97"/>
      <c r="B36" s="393"/>
      <c r="C36" s="393"/>
      <c r="D36" s="393"/>
      <c r="E36" s="395" t="s">
        <v>3335</v>
      </c>
      <c r="F36" s="394"/>
      <c r="G36" s="1234" t="s">
        <v>3981</v>
      </c>
    </row>
    <row r="37" spans="1:7" s="40" customFormat="1" ht="12" customHeight="1">
      <c r="A37" s="97"/>
      <c r="B37" s="393"/>
      <c r="C37" s="393"/>
      <c r="D37" s="393"/>
      <c r="E37" s="395" t="s">
        <v>168</v>
      </c>
      <c r="F37" s="394"/>
      <c r="G37" s="1234" t="s">
        <v>3981</v>
      </c>
    </row>
    <row r="38" spans="1:7" s="40" customFormat="1" ht="26.25" customHeight="1">
      <c r="A38" s="97"/>
      <c r="B38" s="393"/>
      <c r="C38" s="393"/>
      <c r="D38" s="393"/>
      <c r="E38" s="882" t="s">
        <v>3696</v>
      </c>
      <c r="F38" s="883"/>
      <c r="G38" s="1234" t="s">
        <v>3981</v>
      </c>
    </row>
    <row r="39" spans="1:7" s="40" customFormat="1" ht="12" customHeight="1">
      <c r="A39" s="101"/>
      <c r="B39" s="239"/>
      <c r="C39" s="391"/>
      <c r="D39" s="391"/>
      <c r="E39" s="395" t="s">
        <v>3274</v>
      </c>
      <c r="F39" s="391"/>
      <c r="G39" s="1234" t="s">
        <v>3981</v>
      </c>
    </row>
    <row r="40" spans="1:7" s="40" customFormat="1" ht="12" customHeight="1">
      <c r="A40" s="101"/>
      <c r="B40" s="239"/>
      <c r="C40" s="391"/>
      <c r="D40" s="391"/>
      <c r="E40" s="395" t="s">
        <v>3634</v>
      </c>
      <c r="F40" s="391"/>
      <c r="G40" s="1234" t="s">
        <v>3981</v>
      </c>
    </row>
    <row r="41" spans="1:7" s="40" customFormat="1" ht="12" customHeight="1">
      <c r="A41" s="97"/>
      <c r="B41" s="393"/>
      <c r="C41" s="393"/>
      <c r="D41" s="393"/>
      <c r="E41" s="395" t="s">
        <v>1782</v>
      </c>
      <c r="F41" s="394"/>
      <c r="G41" s="1234" t="s">
        <v>3981</v>
      </c>
    </row>
    <row r="42" spans="1:7" s="40" customFormat="1" ht="12" customHeight="1">
      <c r="A42" s="97"/>
      <c r="B42" s="393"/>
      <c r="C42" s="393"/>
      <c r="D42" s="393"/>
      <c r="E42" s="395" t="s">
        <v>1781</v>
      </c>
      <c r="F42" s="394"/>
      <c r="G42" s="1234" t="s">
        <v>3981</v>
      </c>
    </row>
    <row r="43" spans="1:7" s="40" customFormat="1" ht="3" customHeight="1">
      <c r="A43" s="101"/>
      <c r="B43" s="391"/>
      <c r="C43" s="391"/>
      <c r="D43" s="391"/>
      <c r="E43" s="1236"/>
      <c r="F43" s="391"/>
      <c r="G43" s="102"/>
    </row>
    <row r="44" spans="1:7" s="40" customFormat="1" ht="12" customHeight="1">
      <c r="A44" s="386"/>
      <c r="B44" s="1238"/>
      <c r="C44" s="1239"/>
      <c r="D44" s="789" t="s">
        <v>3849</v>
      </c>
      <c r="E44" s="1240" t="s">
        <v>3902</v>
      </c>
      <c r="F44" s="1241"/>
      <c r="G44" s="1234" t="s">
        <v>3981</v>
      </c>
    </row>
    <row r="45" spans="1:7" s="40" customFormat="1" ht="11.25" customHeight="1">
      <c r="A45" s="101"/>
      <c r="B45" s="1242"/>
      <c r="C45" s="143"/>
      <c r="D45" s="143"/>
      <c r="E45" s="1236" t="s">
        <v>3677</v>
      </c>
      <c r="F45" s="391"/>
      <c r="G45" s="1234" t="s">
        <v>2104</v>
      </c>
    </row>
    <row r="46" spans="1:7" s="40" customFormat="1" ht="12" customHeight="1">
      <c r="A46" s="101"/>
      <c r="B46" s="1243"/>
      <c r="C46" s="1244"/>
      <c r="D46" s="1244"/>
      <c r="E46" s="1236" t="s">
        <v>3678</v>
      </c>
      <c r="F46" s="391"/>
      <c r="G46" s="1234" t="s">
        <v>2104</v>
      </c>
    </row>
    <row r="47" spans="1:7" s="40" customFormat="1" ht="26.25" customHeight="1">
      <c r="A47" s="99"/>
      <c r="B47" s="393"/>
      <c r="C47" s="393"/>
      <c r="D47" s="393"/>
      <c r="E47" s="882" t="s">
        <v>3697</v>
      </c>
      <c r="F47" s="883"/>
      <c r="G47" s="1234" t="s">
        <v>3981</v>
      </c>
    </row>
    <row r="48" spans="1:7" s="40" customFormat="1" ht="3" customHeight="1">
      <c r="A48" s="797"/>
      <c r="B48" s="393"/>
      <c r="C48" s="393"/>
      <c r="D48" s="393"/>
      <c r="E48" s="395"/>
      <c r="F48" s="394"/>
      <c r="G48" s="312"/>
    </row>
    <row r="49" spans="1:7" s="40" customFormat="1" ht="12" customHeight="1">
      <c r="A49" s="386">
        <v>3</v>
      </c>
      <c r="B49" s="406" t="s">
        <v>3921</v>
      </c>
      <c r="C49" s="391"/>
      <c r="D49" s="391"/>
      <c r="E49" s="395" t="s">
        <v>3918</v>
      </c>
      <c r="F49" s="794"/>
      <c r="G49" s="1234" t="s">
        <v>3981</v>
      </c>
    </row>
    <row r="50" spans="1:7" s="40" customFormat="1" ht="13.5">
      <c r="A50" s="386"/>
      <c r="B50" s="406"/>
      <c r="C50" s="1245" t="s">
        <v>3930</v>
      </c>
      <c r="D50" s="391"/>
      <c r="E50" s="882" t="s">
        <v>3967</v>
      </c>
      <c r="F50" s="883"/>
      <c r="G50" s="1234" t="s">
        <v>2104</v>
      </c>
    </row>
    <row r="51" spans="1:7" s="40" customFormat="1" ht="12" customHeight="1">
      <c r="A51" s="101"/>
      <c r="B51" s="239"/>
      <c r="C51" s="789"/>
      <c r="D51" s="391"/>
      <c r="E51" s="391" t="s">
        <v>3259</v>
      </c>
      <c r="F51" s="391"/>
      <c r="G51" s="1234" t="s">
        <v>2104</v>
      </c>
    </row>
    <row r="52" spans="1:7" s="40" customFormat="1" ht="12" customHeight="1">
      <c r="A52" s="101"/>
      <c r="B52" s="239"/>
      <c r="C52" s="789"/>
      <c r="D52" s="391"/>
      <c r="E52" s="391" t="s">
        <v>3917</v>
      </c>
      <c r="F52" s="391"/>
      <c r="G52" s="1234" t="s">
        <v>2104</v>
      </c>
    </row>
    <row r="53" spans="1:7" s="40" customFormat="1" ht="12" customHeight="1">
      <c r="A53" s="101"/>
      <c r="B53" s="239"/>
      <c r="C53" s="391"/>
      <c r="D53" s="391"/>
      <c r="E53" s="395" t="s">
        <v>3200</v>
      </c>
      <c r="F53" s="395"/>
      <c r="G53" s="1234" t="s">
        <v>2104</v>
      </c>
    </row>
    <row r="54" spans="1:7" s="40" customFormat="1" ht="12" customHeight="1">
      <c r="A54" s="101"/>
      <c r="B54" s="239"/>
      <c r="C54" s="391"/>
      <c r="D54" s="391"/>
      <c r="E54" s="882" t="s">
        <v>3919</v>
      </c>
      <c r="F54" s="883"/>
      <c r="G54" s="1234" t="s">
        <v>2104</v>
      </c>
    </row>
    <row r="55" spans="1:7" s="40" customFormat="1" ht="3" customHeight="1">
      <c r="A55" s="97"/>
      <c r="B55" s="393"/>
      <c r="C55" s="393"/>
      <c r="D55" s="393"/>
      <c r="E55" s="393"/>
      <c r="F55" s="394"/>
      <c r="G55" s="311"/>
    </row>
    <row r="56" spans="1:7" s="40" customFormat="1" ht="12" customHeight="1">
      <c r="A56" s="101"/>
      <c r="B56" s="395"/>
      <c r="C56" s="865" t="s">
        <v>3922</v>
      </c>
      <c r="D56" s="865"/>
      <c r="E56" s="395" t="s">
        <v>3287</v>
      </c>
      <c r="F56" s="395"/>
      <c r="G56" s="1234" t="s">
        <v>2104</v>
      </c>
    </row>
    <row r="57" spans="1:7" s="40" customFormat="1" ht="12" customHeight="1">
      <c r="A57" s="101"/>
      <c r="B57" s="395"/>
      <c r="C57" s="865"/>
      <c r="D57" s="865"/>
      <c r="E57" s="395" t="s">
        <v>3288</v>
      </c>
      <c r="F57" s="395"/>
      <c r="G57" s="1234" t="s">
        <v>2104</v>
      </c>
    </row>
    <row r="58" spans="1:7" s="1246" customFormat="1" ht="12" customHeight="1">
      <c r="A58" s="101"/>
      <c r="B58" s="395"/>
      <c r="C58" s="395"/>
      <c r="D58" s="414"/>
      <c r="E58" s="395" t="s">
        <v>3308</v>
      </c>
      <c r="F58" s="395"/>
      <c r="G58" s="1234" t="s">
        <v>2104</v>
      </c>
    </row>
    <row r="59" spans="1:7" s="40" customFormat="1" ht="3" customHeight="1">
      <c r="A59" s="97"/>
      <c r="B59" s="393"/>
      <c r="C59" s="393"/>
      <c r="D59" s="393"/>
      <c r="E59" s="393"/>
      <c r="F59" s="394"/>
      <c r="G59" s="311"/>
    </row>
    <row r="60" spans="1:7" s="40" customFormat="1" ht="12" customHeight="1">
      <c r="A60" s="101"/>
      <c r="C60" s="1245" t="s">
        <v>3695</v>
      </c>
      <c r="D60" s="391"/>
      <c r="E60" s="391" t="s">
        <v>3688</v>
      </c>
      <c r="G60" s="1234" t="s">
        <v>2104</v>
      </c>
    </row>
    <row r="61" spans="1:7" s="40" customFormat="1" ht="12" customHeight="1">
      <c r="A61" s="101"/>
      <c r="B61" s="395"/>
      <c r="C61" s="390"/>
      <c r="D61" s="395"/>
      <c r="E61" s="882" t="s">
        <v>3689</v>
      </c>
      <c r="F61" s="883"/>
      <c r="G61" s="1234" t="s">
        <v>2104</v>
      </c>
    </row>
    <row r="62" spans="1:7" s="40" customFormat="1" ht="12" customHeight="1">
      <c r="A62" s="101"/>
      <c r="B62" s="395"/>
      <c r="C62" s="413"/>
      <c r="D62" s="395"/>
      <c r="E62" s="395" t="s">
        <v>3904</v>
      </c>
      <c r="G62" s="1234" t="s">
        <v>2104</v>
      </c>
    </row>
    <row r="63" spans="1:7" s="40" customFormat="1" ht="12" customHeight="1">
      <c r="A63" s="101"/>
      <c r="B63" s="395"/>
      <c r="C63" s="395"/>
      <c r="D63" s="414"/>
      <c r="E63" s="395" t="s">
        <v>3690</v>
      </c>
      <c r="G63" s="1234" t="s">
        <v>2104</v>
      </c>
    </row>
    <row r="64" spans="1:7" s="40" customFormat="1" ht="12" customHeight="1">
      <c r="A64" s="101"/>
      <c r="B64" s="395"/>
      <c r="C64" s="395"/>
      <c r="D64" s="414"/>
      <c r="E64" s="395" t="s">
        <v>3691</v>
      </c>
      <c r="G64" s="1234" t="s">
        <v>2104</v>
      </c>
    </row>
    <row r="65" spans="1:7" s="1246" customFormat="1" ht="12" customHeight="1">
      <c r="A65" s="101"/>
      <c r="B65" s="395"/>
      <c r="C65" s="395"/>
      <c r="D65" s="414"/>
      <c r="E65" s="882" t="s">
        <v>3692</v>
      </c>
      <c r="F65" s="883"/>
      <c r="G65" s="1234" t="s">
        <v>2104</v>
      </c>
    </row>
    <row r="66" spans="1:7" s="40" customFormat="1" ht="12" customHeight="1">
      <c r="A66" s="101"/>
      <c r="D66" s="391"/>
      <c r="E66" s="881" t="s">
        <v>3693</v>
      </c>
      <c r="F66" s="883"/>
      <c r="G66" s="1234" t="s">
        <v>2104</v>
      </c>
    </row>
    <row r="67" spans="1:7" s="40" customFormat="1" ht="12" customHeight="1">
      <c r="A67" s="101"/>
      <c r="B67" s="395"/>
      <c r="C67" s="390"/>
      <c r="D67" s="395"/>
      <c r="E67" s="395" t="s">
        <v>3694</v>
      </c>
      <c r="G67" s="1234" t="s">
        <v>3981</v>
      </c>
    </row>
    <row r="68" spans="1:7" s="40" customFormat="1" ht="13.5">
      <c r="A68" s="101"/>
      <c r="B68" s="1236" t="s">
        <v>3920</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3924</v>
      </c>
      <c r="F70" s="391"/>
      <c r="G70" s="1234" t="s">
        <v>3981</v>
      </c>
    </row>
    <row r="71" spans="1:7" s="40" customFormat="1" ht="12" customHeight="1">
      <c r="A71" s="101"/>
      <c r="B71" s="391"/>
      <c r="C71" s="391"/>
      <c r="D71" s="1236"/>
      <c r="E71" s="396" t="s">
        <v>3309</v>
      </c>
      <c r="F71" s="395"/>
      <c r="G71" s="1234" t="s">
        <v>2104</v>
      </c>
    </row>
    <row r="72" spans="1:7" s="40" customFormat="1" ht="12" customHeight="1">
      <c r="A72" s="386"/>
      <c r="B72" s="1237"/>
      <c r="C72" s="391"/>
      <c r="D72" s="391"/>
      <c r="E72" s="1236" t="s">
        <v>3923</v>
      </c>
      <c r="F72" s="391"/>
      <c r="G72" s="1234" t="s">
        <v>2104</v>
      </c>
    </row>
    <row r="73" spans="1:7" s="40" customFormat="1" ht="12" customHeight="1">
      <c r="A73" s="386"/>
      <c r="B73" s="1237"/>
      <c r="C73" s="391"/>
      <c r="D73" s="391"/>
      <c r="E73" s="1236" t="s">
        <v>3953</v>
      </c>
      <c r="F73" s="391"/>
      <c r="G73" s="1234" t="s">
        <v>2104</v>
      </c>
    </row>
    <row r="74" spans="1:7" s="40" customFormat="1" ht="12" customHeight="1">
      <c r="A74" s="386"/>
      <c r="B74" s="1237"/>
      <c r="C74" s="391"/>
      <c r="D74" s="391"/>
      <c r="E74" s="1236" t="s">
        <v>3659</v>
      </c>
      <c r="F74" s="391"/>
      <c r="G74" s="1234" t="s">
        <v>2104</v>
      </c>
    </row>
    <row r="75" spans="1:7" s="40" customFormat="1" ht="12" customHeight="1">
      <c r="A75" s="386"/>
      <c r="B75" s="1237"/>
      <c r="C75" s="391"/>
      <c r="D75" s="391"/>
      <c r="E75" s="1236" t="s">
        <v>3278</v>
      </c>
      <c r="F75" s="391"/>
      <c r="G75" s="1234" t="s">
        <v>2104</v>
      </c>
    </row>
    <row r="76" spans="1:7" s="40" customFormat="1" ht="12" customHeight="1">
      <c r="A76" s="386"/>
      <c r="B76" s="1237"/>
      <c r="C76" s="391"/>
      <c r="D76" s="391"/>
      <c r="E76" s="1236" t="s">
        <v>3925</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3954</v>
      </c>
      <c r="F78" s="391"/>
      <c r="G78" s="1234" t="s">
        <v>2104</v>
      </c>
    </row>
    <row r="79" spans="1:7" s="40" customFormat="1" ht="12" customHeight="1">
      <c r="A79" s="101"/>
      <c r="B79" s="407" t="s">
        <v>3341</v>
      </c>
      <c r="C79" s="408"/>
      <c r="D79" s="409"/>
      <c r="E79" s="396"/>
      <c r="F79" s="391"/>
      <c r="G79" s="313"/>
    </row>
    <row r="80" spans="1:7" s="40" customFormat="1" ht="12.75" customHeight="1">
      <c r="A80" s="386">
        <v>5</v>
      </c>
      <c r="B80" s="404" t="s">
        <v>3201</v>
      </c>
      <c r="C80" s="391"/>
      <c r="D80" s="391"/>
      <c r="E80" s="397" t="s">
        <v>2519</v>
      </c>
      <c r="F80" s="397"/>
      <c r="G80" s="1234" t="s">
        <v>3981</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3981</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2104</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3905</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3679</v>
      </c>
      <c r="D96" s="391"/>
      <c r="E96" s="1236"/>
      <c r="F96" s="397"/>
      <c r="G96" s="149"/>
    </row>
    <row r="97" spans="1:7" s="40" customFormat="1" ht="12.75" customHeight="1">
      <c r="A97" s="387"/>
      <c r="D97" s="1248" t="s">
        <v>3680</v>
      </c>
      <c r="E97" s="1236" t="s">
        <v>3926</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3279</v>
      </c>
      <c r="F101" s="391"/>
      <c r="G101" s="1234" t="s">
        <v>2104</v>
      </c>
    </row>
    <row r="102" spans="1:7" s="40" customFormat="1" ht="12" customHeight="1">
      <c r="A102" s="101"/>
      <c r="B102" s="391"/>
      <c r="C102" s="411"/>
      <c r="D102" s="411"/>
      <c r="E102" s="395" t="s">
        <v>3584</v>
      </c>
      <c r="F102" s="399"/>
      <c r="G102" s="1234" t="s">
        <v>2104</v>
      </c>
    </row>
    <row r="103" spans="1:7" s="40" customFormat="1" ht="12" customHeight="1">
      <c r="A103" s="101"/>
      <c r="B103" s="391"/>
      <c r="C103" s="411"/>
      <c r="D103" s="411"/>
      <c r="E103" s="395" t="s">
        <v>3585</v>
      </c>
      <c r="F103" s="399"/>
      <c r="G103" s="1234" t="s">
        <v>2104</v>
      </c>
    </row>
    <row r="104" spans="1:7" s="40" customFormat="1" ht="12" customHeight="1">
      <c r="A104" s="101"/>
      <c r="B104" s="391"/>
      <c r="C104" s="391"/>
      <c r="D104" s="391"/>
      <c r="E104" s="391" t="s">
        <v>3586</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3981</v>
      </c>
    </row>
    <row r="107" spans="1:7" s="40" customFormat="1" ht="6" customHeight="1">
      <c r="A107" s="101"/>
      <c r="B107" s="239"/>
      <c r="C107" s="789"/>
      <c r="D107" s="391"/>
      <c r="E107" s="397"/>
      <c r="F107" s="397"/>
      <c r="G107" s="149"/>
    </row>
    <row r="108" spans="1:7" s="40" customFormat="1" ht="12" customHeight="1">
      <c r="A108" s="386">
        <v>8</v>
      </c>
      <c r="B108" s="406" t="s">
        <v>3202</v>
      </c>
      <c r="C108" s="239"/>
      <c r="D108" s="391"/>
      <c r="E108" s="397" t="s">
        <v>1779</v>
      </c>
      <c r="F108" s="397"/>
      <c r="G108" s="1234" t="s">
        <v>3981</v>
      </c>
    </row>
    <row r="109" spans="1:7" s="40" customFormat="1" ht="12" customHeight="1">
      <c r="A109" s="101"/>
      <c r="B109" s="239"/>
      <c r="C109" s="789"/>
      <c r="D109" s="391"/>
      <c r="E109" s="397" t="s">
        <v>3916</v>
      </c>
      <c r="F109" s="397"/>
      <c r="G109" s="1234" t="s">
        <v>2104</v>
      </c>
    </row>
    <row r="110" spans="1:7" s="40" customFormat="1" ht="12" customHeight="1">
      <c r="A110" s="101"/>
      <c r="B110" s="239"/>
      <c r="C110" s="789"/>
      <c r="D110" s="391"/>
      <c r="E110" s="397" t="s">
        <v>3908</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3683</v>
      </c>
      <c r="F112" s="883"/>
      <c r="G112" s="1234" t="s">
        <v>3981</v>
      </c>
    </row>
    <row r="113" spans="1:7" s="40" customFormat="1" ht="12" customHeight="1">
      <c r="A113" s="101"/>
      <c r="B113" s="395"/>
      <c r="C113" s="239"/>
      <c r="D113" s="395"/>
      <c r="E113" s="395" t="s">
        <v>680</v>
      </c>
      <c r="F113" s="401"/>
      <c r="G113" s="1234" t="s">
        <v>3981</v>
      </c>
    </row>
    <row r="114" spans="1:7" s="40" customFormat="1" ht="12" customHeight="1">
      <c r="A114" s="101"/>
      <c r="B114" s="391"/>
      <c r="C114" s="239"/>
      <c r="D114" s="391"/>
      <c r="E114" s="395" t="s">
        <v>3606</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3776</v>
      </c>
      <c r="F116" s="391"/>
      <c r="G116" s="1234" t="s">
        <v>3981</v>
      </c>
    </row>
    <row r="117" spans="1:7" s="40" customFormat="1" ht="12" customHeight="1">
      <c r="A117" s="101"/>
      <c r="B117" s="239"/>
      <c r="C117" s="239"/>
      <c r="D117" s="391"/>
      <c r="E117" s="391" t="s">
        <v>3115</v>
      </c>
      <c r="F117" s="391"/>
      <c r="G117" s="1234" t="s">
        <v>2104</v>
      </c>
    </row>
    <row r="118" spans="1:7" s="40" customFormat="1" ht="12" customHeight="1">
      <c r="A118" s="101"/>
      <c r="B118" s="391"/>
      <c r="C118" s="239"/>
      <c r="D118" s="391"/>
      <c r="E118" s="391" t="s">
        <v>3058</v>
      </c>
      <c r="F118" s="391"/>
      <c r="G118" s="1234" t="s">
        <v>2104</v>
      </c>
    </row>
    <row r="119" spans="1:7" s="40" customFormat="1" ht="12" customHeight="1">
      <c r="A119" s="101"/>
      <c r="B119" s="390"/>
      <c r="C119" s="239"/>
      <c r="D119" s="391"/>
      <c r="E119" s="395" t="s">
        <v>3684</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3686</v>
      </c>
      <c r="F121" s="882"/>
      <c r="G121" s="1234" t="s">
        <v>3981</v>
      </c>
    </row>
    <row r="122" spans="1:7" s="40" customFormat="1" ht="12" customHeight="1">
      <c r="A122" s="104"/>
      <c r="B122" s="390"/>
      <c r="C122" s="239"/>
      <c r="D122" s="395"/>
      <c r="E122" s="882" t="s">
        <v>3685</v>
      </c>
      <c r="F122" s="883"/>
      <c r="G122" s="1234" t="s">
        <v>3981</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3687</v>
      </c>
      <c r="F124" s="401"/>
      <c r="G124" s="1234" t="s">
        <v>2104</v>
      </c>
    </row>
    <row r="125" spans="1:7" s="40" customFormat="1" ht="12" customHeight="1">
      <c r="A125" s="386"/>
      <c r="B125" s="404"/>
      <c r="C125" s="239"/>
      <c r="D125" s="391"/>
      <c r="E125" s="395" t="s">
        <v>3280</v>
      </c>
      <c r="F125" s="395"/>
      <c r="G125" s="1234" t="s">
        <v>2104</v>
      </c>
    </row>
    <row r="126" spans="1:7" s="40" customFormat="1" ht="12" customHeight="1">
      <c r="A126" s="101"/>
      <c r="B126" s="395"/>
      <c r="C126" s="239"/>
      <c r="D126" s="395"/>
      <c r="E126" s="396" t="s">
        <v>3494</v>
      </c>
      <c r="F126" s="391"/>
      <c r="G126" s="1234" t="s">
        <v>2104</v>
      </c>
    </row>
    <row r="127" spans="1:7" s="40" customFormat="1" ht="12" customHeight="1">
      <c r="A127" s="101"/>
      <c r="B127" s="391"/>
      <c r="C127" s="239"/>
      <c r="D127" s="1236"/>
      <c r="E127" s="391" t="s">
        <v>3281</v>
      </c>
      <c r="F127" s="391"/>
      <c r="G127" s="1234" t="s">
        <v>3981</v>
      </c>
    </row>
    <row r="128" spans="1:7" s="40" customFormat="1" ht="12" customHeight="1">
      <c r="A128" s="101"/>
      <c r="B128" s="390"/>
      <c r="C128" s="239"/>
      <c r="D128" s="391"/>
      <c r="E128" s="391" t="s">
        <v>1537</v>
      </c>
      <c r="F128" s="391"/>
      <c r="G128" s="1234" t="s">
        <v>3981</v>
      </c>
    </row>
    <row r="129" spans="1:7" s="40" customFormat="1" ht="12" customHeight="1">
      <c r="A129" s="101"/>
      <c r="B129" s="391"/>
      <c r="C129" s="239"/>
      <c r="D129" s="391"/>
      <c r="E129" s="395" t="s">
        <v>1538</v>
      </c>
      <c r="F129" s="401"/>
      <c r="G129" s="1234" t="s">
        <v>3981</v>
      </c>
    </row>
    <row r="130" spans="1:7" s="40" customFormat="1" ht="12" customHeight="1">
      <c r="A130" s="101"/>
      <c r="B130" s="395"/>
      <c r="C130" s="239"/>
      <c r="D130" s="395"/>
      <c r="E130" s="395" t="s">
        <v>3240</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3981</v>
      </c>
    </row>
    <row r="133" spans="1:7" s="40" customFormat="1" ht="12" customHeight="1">
      <c r="A133" s="101"/>
      <c r="B133" s="884"/>
      <c r="C133" s="885"/>
      <c r="D133" s="885"/>
      <c r="E133" s="395" t="s">
        <v>1785</v>
      </c>
      <c r="F133" s="395"/>
      <c r="G133" s="1234" t="s">
        <v>3981</v>
      </c>
    </row>
    <row r="134" spans="1:7" s="40" customFormat="1" ht="12" customHeight="1">
      <c r="A134" s="101"/>
      <c r="B134" s="884"/>
      <c r="C134" s="885"/>
      <c r="D134" s="885"/>
      <c r="E134" s="395" t="s">
        <v>1788</v>
      </c>
      <c r="F134" s="395"/>
      <c r="G134" s="1234" t="s">
        <v>3981</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3310</v>
      </c>
      <c r="F136" s="397"/>
      <c r="G136" s="1234" t="s">
        <v>3981</v>
      </c>
    </row>
    <row r="137" spans="1:7" s="40" customFormat="1" ht="12" customHeight="1">
      <c r="A137" s="101"/>
      <c r="B137" s="587" t="s">
        <v>2882</v>
      </c>
      <c r="C137" s="239"/>
      <c r="D137" s="1251"/>
      <c r="E137" s="881" t="s">
        <v>3934</v>
      </c>
      <c r="F137" s="883"/>
      <c r="G137" s="1234" t="s">
        <v>3981</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3981</v>
      </c>
    </row>
    <row r="140" spans="1:7" s="40" customFormat="1" ht="12" customHeight="1">
      <c r="A140" s="386"/>
      <c r="B140" s="587" t="s">
        <v>3177</v>
      </c>
      <c r="C140" s="404"/>
      <c r="D140" s="391"/>
      <c r="E140" s="392" t="s">
        <v>2373</v>
      </c>
      <c r="F140" s="391"/>
      <c r="G140" s="1234" t="s">
        <v>3981</v>
      </c>
    </row>
    <row r="141" spans="1:7" s="40" customFormat="1" ht="12" customHeight="1">
      <c r="A141" s="101"/>
      <c r="B141" s="239"/>
      <c r="C141" s="391"/>
      <c r="D141" s="391"/>
      <c r="E141" s="391" t="s">
        <v>3091</v>
      </c>
      <c r="F141" s="391"/>
      <c r="G141" s="1234" t="s">
        <v>3981</v>
      </c>
    </row>
    <row r="142" spans="1:7" s="40" customFormat="1" ht="12" customHeight="1">
      <c r="A142" s="101"/>
      <c r="B142" s="391"/>
      <c r="C142" s="391"/>
      <c r="D142" s="391"/>
      <c r="E142" s="391" t="s">
        <v>3607</v>
      </c>
      <c r="F142" s="391"/>
      <c r="G142" s="1234" t="s">
        <v>3981</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3400</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3333</v>
      </c>
      <c r="F150" s="401"/>
      <c r="G150" s="1234" t="s">
        <v>2104</v>
      </c>
    </row>
    <row r="151" spans="1:7" s="40" customFormat="1" ht="12" customHeight="1">
      <c r="A151" s="101"/>
      <c r="B151" s="395"/>
      <c r="C151" s="395"/>
      <c r="D151" s="395"/>
      <c r="E151" s="789" t="s">
        <v>3698</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t="s">
        <v>3981</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3096</v>
      </c>
      <c r="F159" s="391"/>
      <c r="G159" s="1234" t="s">
        <v>2104</v>
      </c>
    </row>
    <row r="160" spans="1:7" s="40" customFormat="1" ht="12" customHeight="1">
      <c r="A160" s="101"/>
      <c r="B160" s="239"/>
      <c r="C160" s="239"/>
      <c r="D160" s="239"/>
      <c r="E160" s="395" t="s">
        <v>3126</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3122</v>
      </c>
      <c r="F163" s="391"/>
      <c r="G163" s="1234" t="s">
        <v>2104</v>
      </c>
    </row>
    <row r="164" spans="1:7" s="40" customFormat="1" ht="12" customHeight="1">
      <c r="A164" s="101"/>
      <c r="B164" s="395"/>
      <c r="C164" s="395"/>
      <c r="D164" s="395"/>
      <c r="E164" s="395" t="s">
        <v>3123</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2680</v>
      </c>
      <c r="F166" s="391"/>
      <c r="G166" s="1234" t="s">
        <v>3981</v>
      </c>
    </row>
    <row r="167" spans="1:7" s="40" customFormat="1" ht="6" customHeight="1">
      <c r="A167" s="97"/>
      <c r="B167" s="393"/>
      <c r="C167" s="393"/>
      <c r="D167" s="393"/>
      <c r="E167" s="393"/>
      <c r="F167" s="394"/>
      <c r="G167" s="312"/>
    </row>
    <row r="168" spans="1:7" s="40" customFormat="1" ht="12.6" customHeight="1">
      <c r="A168" s="101"/>
      <c r="B168" s="407" t="s">
        <v>3275</v>
      </c>
      <c r="C168" s="1254"/>
      <c r="D168" s="1255"/>
      <c r="E168" s="1236"/>
      <c r="F168" s="391"/>
      <c r="G168" s="103"/>
    </row>
    <row r="169" spans="1:7" s="40" customFormat="1" ht="12" customHeight="1">
      <c r="A169" s="386">
        <v>19</v>
      </c>
      <c r="B169" s="1237" t="s">
        <v>945</v>
      </c>
      <c r="C169" s="239"/>
      <c r="D169" s="1236"/>
      <c r="E169" s="397" t="s">
        <v>3276</v>
      </c>
      <c r="F169" s="391"/>
      <c r="G169" s="1234" t="s">
        <v>3981</v>
      </c>
    </row>
    <row r="170" spans="1:7" s="40" customFormat="1" ht="12" customHeight="1">
      <c r="A170" s="101"/>
      <c r="B170" s="239"/>
      <c r="C170" s="789"/>
      <c r="D170" s="1236"/>
      <c r="E170" s="881" t="s">
        <v>807</v>
      </c>
      <c r="F170" s="883"/>
      <c r="G170" s="1234" t="s">
        <v>3981</v>
      </c>
    </row>
    <row r="171" spans="1:7" s="40" customFormat="1" ht="12" customHeight="1">
      <c r="A171" s="101"/>
      <c r="B171" s="400"/>
      <c r="C171" s="1236"/>
      <c r="D171" s="1236"/>
      <c r="E171" s="397" t="s">
        <v>36</v>
      </c>
      <c r="F171" s="391"/>
      <c r="G171" s="1234" t="s">
        <v>3981</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3699</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3909</v>
      </c>
      <c r="F175" s="883"/>
      <c r="G175" s="1234" t="s">
        <v>2104</v>
      </c>
    </row>
    <row r="176" spans="1:7" s="40" customFormat="1" ht="11.25" customHeight="1">
      <c r="A176" s="386"/>
      <c r="B176" s="1257"/>
      <c r="C176" s="239"/>
      <c r="D176" s="1237"/>
      <c r="E176" s="881" t="s">
        <v>590</v>
      </c>
      <c r="F176" s="883"/>
      <c r="G176" s="1234" t="s">
        <v>2104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3981</v>
      </c>
    </row>
    <row r="179" spans="1:7" s="40" customFormat="1" ht="12" customHeight="1">
      <c r="A179" s="101"/>
      <c r="B179" s="1237"/>
      <c r="C179" s="239"/>
      <c r="E179" s="822" t="s">
        <v>3660</v>
      </c>
      <c r="F179" s="821"/>
      <c r="G179" s="1234" t="s">
        <v>3981</v>
      </c>
    </row>
    <row r="180" spans="1:7" s="40" customFormat="1" ht="12" customHeight="1">
      <c r="A180" s="101"/>
      <c r="B180" s="406"/>
      <c r="C180" s="239"/>
      <c r="D180" s="1237"/>
      <c r="E180" s="881" t="s">
        <v>591</v>
      </c>
      <c r="F180" s="883"/>
      <c r="G180" s="1234" t="s">
        <v>3981</v>
      </c>
    </row>
    <row r="181" spans="1:7" s="40" customFormat="1" ht="12" customHeight="1">
      <c r="A181" s="101"/>
      <c r="B181" s="406"/>
      <c r="C181" s="239"/>
      <c r="D181" s="1237"/>
      <c r="E181" s="881" t="s">
        <v>592</v>
      </c>
      <c r="F181" s="883"/>
      <c r="G181" s="1234" t="s">
        <v>3981</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3674</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3248</v>
      </c>
      <c r="C189" s="1237"/>
      <c r="D189" s="1237"/>
      <c r="E189" s="881" t="s">
        <v>3911</v>
      </c>
      <c r="F189" s="883"/>
      <c r="G189" s="1234" t="s">
        <v>2104</v>
      </c>
    </row>
    <row r="190" spans="1:7" s="40" customFormat="1" ht="12" customHeight="1">
      <c r="A190" s="101"/>
      <c r="B190" s="1237"/>
      <c r="C190" s="239"/>
      <c r="D190" s="1237"/>
      <c r="E190" s="1236" t="s">
        <v>3675</v>
      </c>
      <c r="G190" s="1234" t="s">
        <v>2104</v>
      </c>
    </row>
    <row r="191" spans="1:7" s="40" customFormat="1" ht="12" customHeight="1">
      <c r="A191" s="386"/>
      <c r="B191" s="1258"/>
      <c r="C191" s="1237"/>
      <c r="D191" s="1237"/>
      <c r="E191" s="881" t="s">
        <v>3912</v>
      </c>
      <c r="F191" s="1112"/>
      <c r="G191" s="1234" t="s">
        <v>2104</v>
      </c>
    </row>
    <row r="192" spans="1:7" s="40" customFormat="1" ht="12" customHeight="1">
      <c r="A192" s="388"/>
      <c r="B192" s="1258"/>
      <c r="C192" s="1237"/>
      <c r="D192" s="1237"/>
      <c r="E192" s="881" t="s">
        <v>3676</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3981</v>
      </c>
    </row>
    <row r="195" spans="1:7" s="40" customFormat="1" ht="26.25" customHeight="1">
      <c r="A195" s="101"/>
      <c r="B195" s="1237"/>
      <c r="C195" s="239"/>
      <c r="D195" s="1237"/>
      <c r="E195" s="1260" t="s">
        <v>3910</v>
      </c>
      <c r="F195" s="1261"/>
      <c r="G195" s="1234" t="s">
        <v>3981</v>
      </c>
    </row>
    <row r="196" spans="1:7" s="40" customFormat="1" ht="6" customHeight="1">
      <c r="A196" s="97"/>
      <c r="B196" s="393"/>
      <c r="C196" s="1237"/>
      <c r="D196" s="1237"/>
      <c r="E196" s="1236"/>
      <c r="F196" s="395"/>
      <c r="G196" s="395"/>
    </row>
    <row r="197" spans="1:7" s="40" customFormat="1" ht="12" customHeight="1">
      <c r="A197" s="386">
        <v>25</v>
      </c>
      <c r="B197" s="1237" t="s">
        <v>3609</v>
      </c>
      <c r="C197" s="239"/>
      <c r="D197" s="1237"/>
      <c r="E197" s="1236" t="s">
        <v>1523</v>
      </c>
      <c r="F197" s="395"/>
      <c r="G197" s="1234" t="s">
        <v>3981</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3311</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3312</v>
      </c>
      <c r="F202" s="1268"/>
      <c r="G202" s="1234" t="s">
        <v>2104</v>
      </c>
    </row>
    <row r="203" spans="1:7" s="40" customFormat="1" ht="12" customHeight="1">
      <c r="A203" s="101"/>
      <c r="C203" s="1236"/>
      <c r="D203" s="1237"/>
      <c r="E203" s="1236" t="s">
        <v>3313</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3522</v>
      </c>
      <c r="F205" s="395"/>
      <c r="G205" s="1234" t="s">
        <v>3981</v>
      </c>
    </row>
    <row r="206" spans="1:7" s="40" customFormat="1" ht="12" customHeight="1">
      <c r="A206" s="101"/>
      <c r="B206" s="239"/>
      <c r="C206" s="1236"/>
      <c r="D206" s="1237"/>
      <c r="E206" s="1236" t="s">
        <v>3164</v>
      </c>
      <c r="F206" s="395"/>
      <c r="G206" s="1234" t="s">
        <v>3981</v>
      </c>
    </row>
    <row r="207" spans="1:7" s="40" customFormat="1" ht="12" customHeight="1">
      <c r="A207" s="101"/>
      <c r="B207" s="1236"/>
      <c r="C207" s="390"/>
      <c r="D207" s="1237"/>
      <c r="E207" s="1236" t="s">
        <v>155</v>
      </c>
      <c r="F207" s="395"/>
      <c r="G207" s="1234" t="s">
        <v>3981</v>
      </c>
    </row>
    <row r="208" spans="1:7" s="40" customFormat="1" ht="12" customHeight="1">
      <c r="A208" s="101"/>
      <c r="B208" s="1236"/>
      <c r="C208" s="1245"/>
      <c r="D208" s="1237"/>
      <c r="E208" s="1236" t="s">
        <v>3608</v>
      </c>
      <c r="F208" s="395"/>
      <c r="G208" s="1234" t="s">
        <v>3981</v>
      </c>
    </row>
    <row r="209" spans="1:7" s="40" customFormat="1" ht="12" customHeight="1">
      <c r="A209" s="101"/>
      <c r="B209" s="789"/>
      <c r="C209" s="1245"/>
      <c r="D209" s="1237"/>
      <c r="E209" s="1236" t="s">
        <v>156</v>
      </c>
      <c r="F209" s="395"/>
      <c r="G209" s="1234" t="s">
        <v>3981</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3981</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3282</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3145</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3981</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2104</v>
      </c>
    </row>
    <row r="227" spans="1:7" s="40" customFormat="1" ht="12" customHeight="1">
      <c r="A227" s="386"/>
      <c r="B227" s="239"/>
      <c r="C227" s="239"/>
      <c r="D227" s="1237"/>
      <c r="E227" s="392" t="s">
        <v>3681</v>
      </c>
      <c r="F227" s="821"/>
      <c r="G227" s="1234" t="s">
        <v>2104</v>
      </c>
    </row>
    <row r="228" spans="1:7" s="40" customFormat="1" ht="26.25" customHeight="1">
      <c r="A228" s="388"/>
      <c r="B228" s="239"/>
      <c r="C228" s="239"/>
      <c r="D228" s="1237"/>
      <c r="E228" s="881" t="s">
        <v>3682</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4099</v>
      </c>
      <c r="F230" s="1271" t="s">
        <v>4102</v>
      </c>
      <c r="G230" s="1234" t="s">
        <v>3981</v>
      </c>
    </row>
    <row r="231" spans="1:7" s="40" customFormat="1" ht="12.6" customHeight="1">
      <c r="A231" s="101"/>
      <c r="C231" s="1272" t="s">
        <v>946</v>
      </c>
      <c r="D231" s="1112"/>
      <c r="E231" s="1273"/>
      <c r="F231" s="1273"/>
      <c r="G231" s="1274" t="s">
        <v>2104</v>
      </c>
    </row>
    <row r="232" spans="1:7" s="40" customFormat="1" ht="12.6" customHeight="1">
      <c r="A232" s="101"/>
      <c r="C232" s="1272"/>
      <c r="D232" s="1112"/>
      <c r="E232" s="1273"/>
      <c r="F232" s="1273"/>
      <c r="G232" s="1274" t="s">
        <v>2104</v>
      </c>
    </row>
    <row r="233" spans="1:7" s="40" customFormat="1" ht="12.6" customHeight="1">
      <c r="A233" s="101"/>
      <c r="C233" s="1272"/>
      <c r="D233" s="1112"/>
      <c r="E233" s="1273"/>
      <c r="F233" s="1273"/>
      <c r="G233" s="1274" t="s">
        <v>2104</v>
      </c>
    </row>
    <row r="234" spans="1:7" s="40" customFormat="1" ht="12.6" customHeight="1">
      <c r="A234" s="101"/>
      <c r="C234" s="1272"/>
      <c r="D234" s="1112"/>
      <c r="E234" s="1273"/>
      <c r="F234" s="1273"/>
      <c r="G234" s="1274" t="s">
        <v>2104</v>
      </c>
    </row>
    <row r="235" spans="1:7" s="40" customFormat="1" ht="12.6" customHeight="1">
      <c r="A235" s="101"/>
      <c r="C235" s="1111"/>
      <c r="D235" s="1112"/>
      <c r="E235" s="1275"/>
      <c r="F235" s="1275"/>
      <c r="G235" s="1274" t="s">
        <v>2104</v>
      </c>
    </row>
    <row r="236" spans="1:7" s="40" customFormat="1" ht="5.45" customHeight="1">
      <c r="A236" s="97"/>
      <c r="B236" s="393"/>
      <c r="C236" s="393"/>
      <c r="D236" s="393"/>
      <c r="E236" s="393"/>
      <c r="F236" s="394"/>
      <c r="G236" s="312"/>
    </row>
    <row r="237" spans="1:7" s="40" customFormat="1" ht="12" customHeight="1">
      <c r="A237" s="386">
        <v>31</v>
      </c>
      <c r="B237" s="404" t="s">
        <v>3438</v>
      </c>
      <c r="C237" s="239"/>
      <c r="D237" s="391"/>
      <c r="E237" s="1236" t="s">
        <v>3605</v>
      </c>
      <c r="F237" s="397"/>
      <c r="G237" s="1234" t="s">
        <v>3981</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3981</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3610</v>
      </c>
      <c r="F241" s="957"/>
      <c r="G241" s="1234" t="s">
        <v>3981</v>
      </c>
    </row>
    <row r="242" spans="1:7" s="40" customFormat="1" ht="12" customHeight="1">
      <c r="A242" s="101"/>
      <c r="B242" s="391"/>
      <c r="C242" s="390"/>
      <c r="D242" s="1236"/>
      <c r="E242" s="391" t="s">
        <v>285</v>
      </c>
      <c r="F242" s="391"/>
      <c r="G242" s="1234" t="s">
        <v>3979</v>
      </c>
    </row>
    <row r="243" spans="1:7" s="40" customFormat="1" ht="6" customHeight="1">
      <c r="A243" s="104"/>
      <c r="B243" s="789"/>
      <c r="C243" s="1237"/>
      <c r="D243" s="1237"/>
      <c r="E243" s="1236"/>
      <c r="F243" s="395"/>
      <c r="G243" s="103"/>
    </row>
    <row r="244" spans="1:7" s="40" customFormat="1" ht="26.45" customHeight="1">
      <c r="A244" s="1276" t="s">
        <v>3913</v>
      </c>
      <c r="B244" s="1277"/>
      <c r="C244" s="1277"/>
      <c r="D244" s="1277"/>
      <c r="E244" s="1277"/>
      <c r="F244" s="1277"/>
      <c r="G244" s="1278"/>
    </row>
  </sheetData>
  <sheetProtection password="BEC8"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C46" zoomScaleNormal="100" workbookViewId="0">
      <selection activeCell="C46"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2012-017 Cherokee Mill Lofts, Calhoun, Gordon County</v>
      </c>
      <c r="B1" s="1002"/>
      <c r="C1" s="1002"/>
      <c r="D1" s="1002"/>
      <c r="E1" s="1002"/>
      <c r="F1" s="1002"/>
      <c r="G1" s="1002"/>
      <c r="H1" s="1002"/>
      <c r="I1" s="1002"/>
      <c r="J1" s="1002"/>
      <c r="K1" s="1002"/>
      <c r="L1" s="1002"/>
      <c r="M1" s="1002"/>
      <c r="N1" s="1002"/>
      <c r="O1" s="1002"/>
      <c r="P1" s="1003"/>
      <c r="T1" s="1081" t="str">
        <f>A1</f>
        <v>PART SIX - PROJECTED REVENUES &amp; EXPENSES  -  2012-017 Cherokee Mill Lofts, Calhoun, Gordon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3331</v>
      </c>
      <c r="C3" s="2"/>
      <c r="E3" s="186" t="s">
        <v>3887</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3423</v>
      </c>
      <c r="FC3" s="773" t="s">
        <v>3424</v>
      </c>
      <c r="FD3" s="773" t="s">
        <v>3425</v>
      </c>
      <c r="FE3" s="773" t="s">
        <v>3426</v>
      </c>
      <c r="FF3" s="775"/>
      <c r="FG3" s="775"/>
      <c r="FH3" s="775"/>
      <c r="FI3" s="775"/>
      <c r="FJ3" s="775"/>
      <c r="FK3" s="773" t="s">
        <v>673</v>
      </c>
      <c r="FL3" s="773" t="s">
        <v>3423</v>
      </c>
      <c r="FM3" s="773" t="s">
        <v>3424</v>
      </c>
      <c r="FN3" s="773" t="s">
        <v>3425</v>
      </c>
      <c r="FO3" s="773" t="s">
        <v>3426</v>
      </c>
      <c r="FP3" s="773" t="s">
        <v>673</v>
      </c>
      <c r="FQ3" s="773" t="s">
        <v>3423</v>
      </c>
      <c r="FR3" s="773" t="s">
        <v>3424</v>
      </c>
      <c r="FS3" s="773" t="s">
        <v>3425</v>
      </c>
      <c r="FT3" s="773" t="s">
        <v>3426</v>
      </c>
      <c r="FU3" s="773" t="s">
        <v>673</v>
      </c>
      <c r="FV3" s="773" t="s">
        <v>3423</v>
      </c>
      <c r="FW3" s="773" t="s">
        <v>3424</v>
      </c>
      <c r="FX3" s="773" t="s">
        <v>3425</v>
      </c>
      <c r="FY3" s="773" t="s">
        <v>3426</v>
      </c>
      <c r="FZ3" s="773" t="s">
        <v>673</v>
      </c>
      <c r="GA3" s="773" t="s">
        <v>3423</v>
      </c>
      <c r="GB3" s="773" t="s">
        <v>3424</v>
      </c>
      <c r="GC3" s="773" t="s">
        <v>3425</v>
      </c>
      <c r="GD3" s="773" t="s">
        <v>3426</v>
      </c>
      <c r="GE3" s="773" t="s">
        <v>673</v>
      </c>
      <c r="GF3" s="773" t="s">
        <v>3423</v>
      </c>
      <c r="GG3" s="773" t="s">
        <v>3424</v>
      </c>
      <c r="GH3" s="773" t="s">
        <v>3425</v>
      </c>
      <c r="GI3" s="773" t="s">
        <v>3426</v>
      </c>
      <c r="GJ3" s="773" t="s">
        <v>673</v>
      </c>
      <c r="GK3" s="773" t="s">
        <v>3423</v>
      </c>
      <c r="GL3" s="773" t="s">
        <v>3424</v>
      </c>
      <c r="GM3" s="773" t="s">
        <v>3425</v>
      </c>
      <c r="GN3" s="773" t="s">
        <v>3426</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3229</v>
      </c>
      <c r="AC4" s="1084" t="s">
        <v>3230</v>
      </c>
      <c r="AD4" s="1084" t="s">
        <v>3231</v>
      </c>
      <c r="AE4" s="1084" t="s">
        <v>3232</v>
      </c>
      <c r="AF4" s="1084" t="s">
        <v>1414</v>
      </c>
      <c r="AG4" s="1084" t="s">
        <v>3233</v>
      </c>
      <c r="AH4" s="1084" t="s">
        <v>3234</v>
      </c>
      <c r="AI4" s="1084" t="s">
        <v>3235</v>
      </c>
      <c r="AJ4" s="1084" t="s">
        <v>3236</v>
      </c>
      <c r="AK4" s="1084" t="s">
        <v>140</v>
      </c>
      <c r="AL4" s="1084" t="s">
        <v>3237</v>
      </c>
      <c r="AM4" s="1084" t="s">
        <v>3238</v>
      </c>
      <c r="AN4" s="1084" t="s">
        <v>3239</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3413</v>
      </c>
      <c r="BU4" s="1084" t="s">
        <v>3414</v>
      </c>
      <c r="BV4" s="1084" t="s">
        <v>3415</v>
      </c>
      <c r="BW4" s="1084" t="s">
        <v>3416</v>
      </c>
      <c r="BX4" s="1084" t="s">
        <v>3417</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3412</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2671</v>
      </c>
      <c r="DV4" s="1083" t="s">
        <v>2672</v>
      </c>
      <c r="DW4" s="1083" t="s">
        <v>2673</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3108</v>
      </c>
      <c r="EM4" s="1083" t="s">
        <v>3109</v>
      </c>
      <c r="EN4" s="1083" t="s">
        <v>3110</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3537</v>
      </c>
      <c r="GQ4" s="1083" t="s">
        <v>3538</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2"/>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13" t="s">
        <v>3979</v>
      </c>
      <c r="J6" s="851" t="s">
        <v>3385</v>
      </c>
      <c r="N6" s="1087" t="str">
        <f>'Part I-Project Information'!$J$26</f>
        <v>Gordon Co.</v>
      </c>
      <c r="O6" s="1087"/>
      <c r="P6" s="672">
        <f>VLOOKUP('Part I-Project Information'!$J$26,'DCA Underwriting Assumptions'!$C$84:$D$194,2)</f>
        <v>52400</v>
      </c>
      <c r="Q6" s="769"/>
      <c r="R6" s="1089" t="s">
        <v>3973</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3386</v>
      </c>
      <c r="K7" s="2"/>
      <c r="L7" s="2"/>
      <c r="M7" s="2"/>
      <c r="N7" s="37"/>
      <c r="O7" s="37"/>
      <c r="P7" s="817"/>
      <c r="Q7" s="817"/>
      <c r="R7" s="818"/>
      <c r="S7" s="819" t="s">
        <v>3970</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3361</v>
      </c>
      <c r="H8" s="851" t="s">
        <v>3359</v>
      </c>
      <c r="I8" s="851" t="s">
        <v>1284</v>
      </c>
      <c r="J8" s="851" t="s">
        <v>3387</v>
      </c>
      <c r="K8" s="1085" t="s">
        <v>170</v>
      </c>
      <c r="L8" s="1085"/>
      <c r="M8" s="851" t="s">
        <v>3332</v>
      </c>
      <c r="N8" s="851" t="s">
        <v>768</v>
      </c>
      <c r="O8" s="851" t="s">
        <v>457</v>
      </c>
      <c r="P8" s="1088" t="s">
        <v>1551</v>
      </c>
      <c r="Q8" s="1088"/>
      <c r="R8" s="852" t="s">
        <v>3969</v>
      </c>
      <c r="S8" s="852" t="s">
        <v>3971</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3423</v>
      </c>
      <c r="EX8" s="776" t="s">
        <v>3424</v>
      </c>
      <c r="EY8" s="776" t="s">
        <v>3425</v>
      </c>
      <c r="EZ8" s="776" t="s">
        <v>3426</v>
      </c>
      <c r="FA8" s="1083" t="s">
        <v>3503</v>
      </c>
      <c r="FB8" s="1083" t="s">
        <v>3503</v>
      </c>
      <c r="FC8" s="1083" t="s">
        <v>3503</v>
      </c>
      <c r="FD8" s="1083" t="s">
        <v>3503</v>
      </c>
      <c r="FE8" s="1083" t="s">
        <v>3503</v>
      </c>
      <c r="FF8" s="776" t="s">
        <v>673</v>
      </c>
      <c r="FG8" s="776" t="s">
        <v>3423</v>
      </c>
      <c r="FH8" s="776" t="s">
        <v>3424</v>
      </c>
      <c r="FI8" s="776" t="s">
        <v>3425</v>
      </c>
      <c r="FJ8" s="776" t="s">
        <v>3426</v>
      </c>
      <c r="FK8" s="1083" t="s">
        <v>3505</v>
      </c>
      <c r="FL8" s="1083" t="s">
        <v>3505</v>
      </c>
      <c r="FM8" s="1083" t="s">
        <v>3505</v>
      </c>
      <c r="FN8" s="1083" t="s">
        <v>3505</v>
      </c>
      <c r="FO8" s="1083" t="s">
        <v>3505</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3360</v>
      </c>
      <c r="I9" s="851" t="s">
        <v>1285</v>
      </c>
      <c r="J9" s="758" t="s">
        <v>422</v>
      </c>
      <c r="K9" s="851" t="s">
        <v>2131</v>
      </c>
      <c r="L9" s="851" t="s">
        <v>775</v>
      </c>
      <c r="M9" s="851" t="s">
        <v>2068</v>
      </c>
      <c r="N9" s="851" t="s">
        <v>1863</v>
      </c>
      <c r="O9" s="851" t="s">
        <v>458</v>
      </c>
      <c r="P9" s="852" t="s">
        <v>1549</v>
      </c>
      <c r="Q9" s="852" t="s">
        <v>1550</v>
      </c>
      <c r="R9" s="852" t="s">
        <v>2070</v>
      </c>
      <c r="S9" s="852" t="s">
        <v>3972</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3502</v>
      </c>
      <c r="EX9" s="776" t="s">
        <v>3502</v>
      </c>
      <c r="EY9" s="776" t="s">
        <v>3502</v>
      </c>
      <c r="EZ9" s="776" t="s">
        <v>3502</v>
      </c>
      <c r="FA9" s="1083"/>
      <c r="FB9" s="1083"/>
      <c r="FC9" s="1083"/>
      <c r="FD9" s="1083"/>
      <c r="FE9" s="1083"/>
      <c r="FF9" s="776" t="s">
        <v>3504</v>
      </c>
      <c r="FG9" s="776" t="s">
        <v>3504</v>
      </c>
      <c r="FH9" s="776" t="s">
        <v>3504</v>
      </c>
      <c r="FI9" s="776" t="s">
        <v>3504</v>
      </c>
      <c r="FJ9" s="776" t="s">
        <v>3504</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4" t="s">
        <v>127</v>
      </c>
      <c r="C10" s="1515">
        <v>1</v>
      </c>
      <c r="D10" s="1516">
        <v>1</v>
      </c>
      <c r="E10" s="1517">
        <v>3</v>
      </c>
      <c r="F10" s="1517">
        <v>759</v>
      </c>
      <c r="G10" s="1517">
        <v>485</v>
      </c>
      <c r="H10" s="1517">
        <v>485</v>
      </c>
      <c r="I10" s="1517">
        <v>97</v>
      </c>
      <c r="J10" s="1518"/>
      <c r="K10" s="224">
        <f>MAX(0,H10-I10)</f>
        <v>388</v>
      </c>
      <c r="L10" s="224">
        <f t="shared" ref="L10:L47" si="0">MAX(0,E10*K10)</f>
        <v>1164</v>
      </c>
      <c r="M10" s="1519" t="s">
        <v>3979</v>
      </c>
      <c r="N10" s="1519" t="s">
        <v>3644</v>
      </c>
      <c r="O10" s="1519" t="s">
        <v>3212</v>
      </c>
      <c r="P10" s="673">
        <f>IF(H10="","",H10*12/0.3)</f>
        <v>19400</v>
      </c>
      <c r="Q10" s="674">
        <f>IF(H10="","",P10/($P$6*VLOOKUP(C10,'DCA Underwriting Assumptions'!$J$84:$K$89,2,FALSE)))</f>
        <v>0.49363867684478374</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3</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2277</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3</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3</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f t="shared" ref="FV10:FV47" si="127">IF(AND($C10=1, $N10="1-Story"),$E10,"")</f>
        <v>3</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0" t="s">
        <v>127</v>
      </c>
      <c r="C11" s="1521">
        <v>2</v>
      </c>
      <c r="D11" s="1522">
        <v>2</v>
      </c>
      <c r="E11" s="1523">
        <v>6</v>
      </c>
      <c r="F11" s="1523">
        <v>1052</v>
      </c>
      <c r="G11" s="1523">
        <v>582</v>
      </c>
      <c r="H11" s="1517">
        <v>582</v>
      </c>
      <c r="I11" s="1523">
        <v>121</v>
      </c>
      <c r="J11" s="1524"/>
      <c r="K11" s="225">
        <f t="shared" ref="K11:K27" si="172">MAX(0,H11-I11)</f>
        <v>461</v>
      </c>
      <c r="L11" s="225">
        <f t="shared" si="0"/>
        <v>2766</v>
      </c>
      <c r="M11" s="1525" t="s">
        <v>3979</v>
      </c>
      <c r="N11" s="1525" t="s">
        <v>3644</v>
      </c>
      <c r="O11" s="1525" t="s">
        <v>3212</v>
      </c>
      <c r="P11" s="673">
        <f>IF(H11="","",H11*12/0.3)</f>
        <v>23280</v>
      </c>
      <c r="Q11" s="674">
        <f>IF(H11="","",P11/($P$6*VLOOKUP(C11,'DCA Underwriting Assumptions'!$J$84:$K$89,2,FALSE)))</f>
        <v>0.49363867684478374</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6</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6312</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6</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6</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f t="shared" si="128"/>
        <v>6</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0" t="s">
        <v>127</v>
      </c>
      <c r="C12" s="1521">
        <v>3</v>
      </c>
      <c r="D12" s="1522">
        <v>2</v>
      </c>
      <c r="E12" s="1523">
        <v>3</v>
      </c>
      <c r="F12" s="1523">
        <v>1128</v>
      </c>
      <c r="G12" s="1523">
        <v>672</v>
      </c>
      <c r="H12" s="1523">
        <v>672</v>
      </c>
      <c r="I12" s="1523">
        <v>152</v>
      </c>
      <c r="J12" s="1524"/>
      <c r="K12" s="225">
        <f t="shared" si="172"/>
        <v>520</v>
      </c>
      <c r="L12" s="225">
        <f t="shared" si="0"/>
        <v>1560</v>
      </c>
      <c r="M12" s="1525" t="s">
        <v>3979</v>
      </c>
      <c r="N12" s="1525" t="s">
        <v>3644</v>
      </c>
      <c r="O12" s="1525" t="s">
        <v>3212</v>
      </c>
      <c r="P12" s="673">
        <f>IF(H12="","",H12*12/0.3)</f>
        <v>26880</v>
      </c>
      <c r="Q12" s="674">
        <f>IF(H12="","",P12/($P$6*VLOOKUP(C12,'DCA Underwriting Assumptions'!$J$84:$K$89,2,FALSE)))</f>
        <v>0.49324721080446271</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3</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3384</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3</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3</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f t="shared" si="129"/>
        <v>3</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0" t="s">
        <v>1670</v>
      </c>
      <c r="C13" s="1521">
        <v>1</v>
      </c>
      <c r="D13" s="1522">
        <v>1</v>
      </c>
      <c r="E13" s="1523">
        <v>9</v>
      </c>
      <c r="F13" s="1523">
        <v>759</v>
      </c>
      <c r="G13" s="1523">
        <v>582</v>
      </c>
      <c r="H13" s="1523">
        <v>522</v>
      </c>
      <c r="I13" s="1523">
        <v>97</v>
      </c>
      <c r="J13" s="1524"/>
      <c r="K13" s="225">
        <f t="shared" si="172"/>
        <v>425</v>
      </c>
      <c r="L13" s="225">
        <f t="shared" si="0"/>
        <v>3825</v>
      </c>
      <c r="M13" s="1525" t="s">
        <v>3979</v>
      </c>
      <c r="N13" s="1525" t="s">
        <v>3644</v>
      </c>
      <c r="O13" s="1525" t="s">
        <v>3212</v>
      </c>
      <c r="P13" s="673">
        <f>IF(H13="","",H13*12/0.3)</f>
        <v>20880</v>
      </c>
      <c r="Q13" s="674">
        <f>IF(H13="","",P13/($P$6*VLOOKUP(C13,'DCA Underwriting Assumptions'!$J$84:$K$89,2,FALSE)))</f>
        <v>0.5312977099236641</v>
      </c>
      <c r="R13" s="820"/>
      <c r="S13" s="674"/>
      <c r="T13" s="1462"/>
      <c r="U13" s="1463"/>
      <c r="V13" s="757" t="str">
        <f t="shared" si="1"/>
        <v/>
      </c>
      <c r="W13" s="757">
        <f t="shared" si="2"/>
        <v>9</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6831</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9</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9</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f t="shared" si="127"/>
        <v>9</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0" t="s">
        <v>1670</v>
      </c>
      <c r="C14" s="1521">
        <v>2</v>
      </c>
      <c r="D14" s="1522">
        <v>2</v>
      </c>
      <c r="E14" s="1523">
        <v>24</v>
      </c>
      <c r="F14" s="1523">
        <v>1052</v>
      </c>
      <c r="G14" s="1523">
        <v>699</v>
      </c>
      <c r="H14" s="1523">
        <v>625</v>
      </c>
      <c r="I14" s="1523">
        <v>121</v>
      </c>
      <c r="J14" s="1524"/>
      <c r="K14" s="225">
        <f t="shared" si="172"/>
        <v>504</v>
      </c>
      <c r="L14" s="225">
        <f t="shared" si="0"/>
        <v>12096</v>
      </c>
      <c r="M14" s="1525" t="s">
        <v>3979</v>
      </c>
      <c r="N14" s="1525" t="s">
        <v>3644</v>
      </c>
      <c r="O14" s="1525" t="s">
        <v>3212</v>
      </c>
      <c r="P14" s="673">
        <f>IF(H14="","",H14*12/0.3)</f>
        <v>25000</v>
      </c>
      <c r="Q14" s="674">
        <f>IF(H14="","",P14/($P$6*VLOOKUP(C14,'DCA Underwriting Assumptions'!$J$84:$K$89,2,FALSE)))</f>
        <v>0.53011026293469043</v>
      </c>
      <c r="R14" s="820"/>
      <c r="S14" s="674"/>
      <c r="T14" s="1462"/>
      <c r="U14" s="1463"/>
      <c r="V14" s="757" t="str">
        <f t="shared" si="1"/>
        <v/>
      </c>
      <c r="W14" s="757" t="str">
        <f t="shared" si="2"/>
        <v/>
      </c>
      <c r="X14" s="757">
        <f t="shared" si="3"/>
        <v>24</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25248</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24</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24</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f t="shared" si="128"/>
        <v>24</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0" t="s">
        <v>1670</v>
      </c>
      <c r="C15" s="1521">
        <v>3</v>
      </c>
      <c r="D15" s="1522">
        <v>2</v>
      </c>
      <c r="E15" s="1523">
        <v>15</v>
      </c>
      <c r="F15" s="1523">
        <v>1128</v>
      </c>
      <c r="G15" s="1523">
        <v>807</v>
      </c>
      <c r="H15" s="1523">
        <v>748</v>
      </c>
      <c r="I15" s="1523">
        <v>152</v>
      </c>
      <c r="J15" s="1524"/>
      <c r="K15" s="225">
        <f t="shared" si="172"/>
        <v>596</v>
      </c>
      <c r="L15" s="225">
        <f t="shared" si="0"/>
        <v>8940</v>
      </c>
      <c r="M15" s="1525" t="s">
        <v>3979</v>
      </c>
      <c r="N15" s="1525" t="s">
        <v>3644</v>
      </c>
      <c r="O15" s="1525" t="s">
        <v>3212</v>
      </c>
      <c r="P15" s="673">
        <f t="shared" ref="P15:P47" si="203">IF(H15="","",H15*12/0.3)</f>
        <v>29920</v>
      </c>
      <c r="Q15" s="674">
        <f>IF(H15="","",P15/($P$6*VLOOKUP(C15,'DCA Underwriting Assumptions'!$J$84:$K$89,2,FALSE)))</f>
        <v>0.5490311215502055</v>
      </c>
      <c r="R15" s="820"/>
      <c r="S15" s="674"/>
      <c r="T15" s="1462"/>
      <c r="U15" s="1463"/>
      <c r="V15" s="757" t="str">
        <f t="shared" si="1"/>
        <v/>
      </c>
      <c r="W15" s="757" t="str">
        <f t="shared" si="2"/>
        <v/>
      </c>
      <c r="X15" s="757" t="str">
        <f t="shared" si="3"/>
        <v/>
      </c>
      <c r="Y15" s="757">
        <f t="shared" si="4"/>
        <v>15</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16920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15</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15</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f t="shared" si="129"/>
        <v>15</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0" t="s">
        <v>2626</v>
      </c>
      <c r="C16" s="1521"/>
      <c r="D16" s="1522"/>
      <c r="E16" s="1523"/>
      <c r="F16" s="1523"/>
      <c r="G16" s="1523"/>
      <c r="H16" s="1523"/>
      <c r="I16" s="1523"/>
      <c r="J16" s="1524"/>
      <c r="K16" s="225">
        <f t="shared" si="172"/>
        <v>0</v>
      </c>
      <c r="L16" s="225">
        <f t="shared" si="0"/>
        <v>0</v>
      </c>
      <c r="M16" s="1525"/>
      <c r="N16" s="1525"/>
      <c r="O16" s="1525"/>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0" t="s">
        <v>2626</v>
      </c>
      <c r="C17" s="1521"/>
      <c r="D17" s="1522"/>
      <c r="E17" s="1523"/>
      <c r="F17" s="1523"/>
      <c r="G17" s="1523"/>
      <c r="H17" s="1523"/>
      <c r="I17" s="1523"/>
      <c r="J17" s="1524"/>
      <c r="K17" s="225">
        <f t="shared" si="172"/>
        <v>0</v>
      </c>
      <c r="L17" s="225">
        <f t="shared" si="0"/>
        <v>0</v>
      </c>
      <c r="M17" s="1525"/>
      <c r="N17" s="1525"/>
      <c r="O17" s="1525"/>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0" t="s">
        <v>2626</v>
      </c>
      <c r="C18" s="1521"/>
      <c r="D18" s="1522"/>
      <c r="E18" s="1523"/>
      <c r="F18" s="1523"/>
      <c r="G18" s="1523"/>
      <c r="H18" s="1523"/>
      <c r="I18" s="1523"/>
      <c r="J18" s="1524"/>
      <c r="K18" s="225">
        <f t="shared" si="172"/>
        <v>0</v>
      </c>
      <c r="L18" s="225">
        <f t="shared" si="0"/>
        <v>0</v>
      </c>
      <c r="M18" s="1525"/>
      <c r="N18" s="1525"/>
      <c r="O18" s="1525"/>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0" t="s">
        <v>2626</v>
      </c>
      <c r="C19" s="1521"/>
      <c r="D19" s="1522"/>
      <c r="E19" s="1523"/>
      <c r="F19" s="1523"/>
      <c r="G19" s="1523"/>
      <c r="H19" s="1523"/>
      <c r="I19" s="1523"/>
      <c r="J19" s="1524"/>
      <c r="K19" s="225">
        <f t="shared" si="172"/>
        <v>0</v>
      </c>
      <c r="L19" s="225">
        <f t="shared" si="0"/>
        <v>0</v>
      </c>
      <c r="M19" s="1525"/>
      <c r="N19" s="1525"/>
      <c r="O19" s="1525"/>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0" t="s">
        <v>2626</v>
      </c>
      <c r="C20" s="1521"/>
      <c r="D20" s="1522"/>
      <c r="E20" s="1523"/>
      <c r="F20" s="1523"/>
      <c r="G20" s="1523"/>
      <c r="H20" s="1523"/>
      <c r="I20" s="1523"/>
      <c r="J20" s="1524"/>
      <c r="K20" s="225">
        <f t="shared" si="172"/>
        <v>0</v>
      </c>
      <c r="L20" s="225">
        <f t="shared" si="0"/>
        <v>0</v>
      </c>
      <c r="M20" s="1525"/>
      <c r="N20" s="1525"/>
      <c r="O20" s="1525"/>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0" t="s">
        <v>2626</v>
      </c>
      <c r="C21" s="1521"/>
      <c r="D21" s="1522"/>
      <c r="E21" s="1523"/>
      <c r="F21" s="1523"/>
      <c r="G21" s="1523"/>
      <c r="H21" s="1523"/>
      <c r="I21" s="1523"/>
      <c r="J21" s="1524"/>
      <c r="K21" s="225">
        <f t="shared" si="172"/>
        <v>0</v>
      </c>
      <c r="L21" s="225">
        <f t="shared" si="0"/>
        <v>0</v>
      </c>
      <c r="M21" s="1525"/>
      <c r="N21" s="1525"/>
      <c r="O21" s="1525"/>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0" t="s">
        <v>2626</v>
      </c>
      <c r="C22" s="1521"/>
      <c r="D22" s="1522"/>
      <c r="E22" s="1523"/>
      <c r="F22" s="1523"/>
      <c r="G22" s="1523"/>
      <c r="H22" s="1523"/>
      <c r="I22" s="1523"/>
      <c r="J22" s="1524"/>
      <c r="K22" s="225">
        <f t="shared" si="172"/>
        <v>0</v>
      </c>
      <c r="L22" s="225">
        <f t="shared" si="0"/>
        <v>0</v>
      </c>
      <c r="M22" s="1525"/>
      <c r="N22" s="1525"/>
      <c r="O22" s="1525"/>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0" t="s">
        <v>2626</v>
      </c>
      <c r="C23" s="1521"/>
      <c r="D23" s="1522"/>
      <c r="E23" s="1523"/>
      <c r="F23" s="1523"/>
      <c r="G23" s="1523"/>
      <c r="H23" s="1523"/>
      <c r="I23" s="1523"/>
      <c r="J23" s="1524"/>
      <c r="K23" s="225">
        <f t="shared" si="172"/>
        <v>0</v>
      </c>
      <c r="L23" s="225">
        <f t="shared" si="0"/>
        <v>0</v>
      </c>
      <c r="M23" s="1525"/>
      <c r="N23" s="1525"/>
      <c r="O23" s="1525"/>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0" t="s">
        <v>2626</v>
      </c>
      <c r="C24" s="1521"/>
      <c r="D24" s="1522"/>
      <c r="E24" s="1523"/>
      <c r="F24" s="1523"/>
      <c r="G24" s="1523"/>
      <c r="H24" s="1523"/>
      <c r="I24" s="1523"/>
      <c r="J24" s="1524"/>
      <c r="K24" s="225">
        <f t="shared" si="172"/>
        <v>0</v>
      </c>
      <c r="L24" s="225">
        <f t="shared" si="0"/>
        <v>0</v>
      </c>
      <c r="M24" s="1525"/>
      <c r="N24" s="1525"/>
      <c r="O24" s="1525"/>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0" t="s">
        <v>2626</v>
      </c>
      <c r="C25" s="1521"/>
      <c r="D25" s="1522"/>
      <c r="E25" s="1523"/>
      <c r="F25" s="1523"/>
      <c r="G25" s="1523"/>
      <c r="H25" s="1523"/>
      <c r="I25" s="1523"/>
      <c r="J25" s="1524"/>
      <c r="K25" s="225">
        <f t="shared" si="172"/>
        <v>0</v>
      </c>
      <c r="L25" s="225">
        <f t="shared" si="0"/>
        <v>0</v>
      </c>
      <c r="M25" s="1525"/>
      <c r="N25" s="1525"/>
      <c r="O25" s="1525"/>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0" t="s">
        <v>2626</v>
      </c>
      <c r="C26" s="1521"/>
      <c r="D26" s="1522"/>
      <c r="E26" s="1523"/>
      <c r="F26" s="1523"/>
      <c r="G26" s="1523"/>
      <c r="H26" s="1523"/>
      <c r="I26" s="1523"/>
      <c r="J26" s="1524"/>
      <c r="K26" s="225">
        <f t="shared" si="172"/>
        <v>0</v>
      </c>
      <c r="L26" s="225">
        <f t="shared" si="0"/>
        <v>0</v>
      </c>
      <c r="M26" s="1525"/>
      <c r="N26" s="1525"/>
      <c r="O26" s="1525"/>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0" t="s">
        <v>2626</v>
      </c>
      <c r="C27" s="1521"/>
      <c r="D27" s="1522"/>
      <c r="E27" s="1523"/>
      <c r="F27" s="1523"/>
      <c r="G27" s="1523"/>
      <c r="H27" s="1523"/>
      <c r="I27" s="1523"/>
      <c r="J27" s="1524"/>
      <c r="K27" s="225">
        <f t="shared" si="172"/>
        <v>0</v>
      </c>
      <c r="L27" s="225">
        <f t="shared" si="0"/>
        <v>0</v>
      </c>
      <c r="M27" s="1525"/>
      <c r="N27" s="1525"/>
      <c r="O27" s="1525"/>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0" t="s">
        <v>2626</v>
      </c>
      <c r="C28" s="1521"/>
      <c r="D28" s="1522"/>
      <c r="E28" s="1523"/>
      <c r="F28" s="1523"/>
      <c r="G28" s="1523"/>
      <c r="H28" s="1523"/>
      <c r="I28" s="1523"/>
      <c r="J28" s="1524"/>
      <c r="K28" s="225">
        <f>MAX(0,H28-I28)</f>
        <v>0</v>
      </c>
      <c r="L28" s="225">
        <f t="shared" si="0"/>
        <v>0</v>
      </c>
      <c r="M28" s="1525"/>
      <c r="N28" s="1525"/>
      <c r="O28" s="1525"/>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0" t="s">
        <v>2626</v>
      </c>
      <c r="C29" s="1521"/>
      <c r="D29" s="1522"/>
      <c r="E29" s="1523"/>
      <c r="F29" s="1523"/>
      <c r="G29" s="1523"/>
      <c r="H29" s="1523"/>
      <c r="I29" s="1523"/>
      <c r="J29" s="1524"/>
      <c r="K29" s="225">
        <f t="shared" ref="K29:K47" si="204">MAX(0,H29-I29)</f>
        <v>0</v>
      </c>
      <c r="L29" s="225">
        <f t="shared" si="0"/>
        <v>0</v>
      </c>
      <c r="M29" s="1525"/>
      <c r="N29" s="1525"/>
      <c r="O29" s="1525"/>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0" t="s">
        <v>2626</v>
      </c>
      <c r="C30" s="1521"/>
      <c r="D30" s="1522"/>
      <c r="E30" s="1523"/>
      <c r="F30" s="1523"/>
      <c r="G30" s="1523"/>
      <c r="H30" s="1523"/>
      <c r="I30" s="1523"/>
      <c r="J30" s="1524"/>
      <c r="K30" s="225">
        <f t="shared" si="204"/>
        <v>0</v>
      </c>
      <c r="L30" s="225">
        <f t="shared" si="0"/>
        <v>0</v>
      </c>
      <c r="M30" s="1525"/>
      <c r="N30" s="1525"/>
      <c r="O30" s="1525"/>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0" t="s">
        <v>2626</v>
      </c>
      <c r="C31" s="1521"/>
      <c r="D31" s="1522"/>
      <c r="E31" s="1523"/>
      <c r="F31" s="1523"/>
      <c r="G31" s="1523"/>
      <c r="H31" s="1523"/>
      <c r="I31" s="1523"/>
      <c r="J31" s="1524"/>
      <c r="K31" s="225">
        <f t="shared" si="204"/>
        <v>0</v>
      </c>
      <c r="L31" s="225">
        <f t="shared" si="0"/>
        <v>0</v>
      </c>
      <c r="M31" s="1525"/>
      <c r="N31" s="1525"/>
      <c r="O31" s="1525"/>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0" t="s">
        <v>2626</v>
      </c>
      <c r="C32" s="1521"/>
      <c r="D32" s="1522"/>
      <c r="E32" s="1523"/>
      <c r="F32" s="1523"/>
      <c r="G32" s="1523"/>
      <c r="H32" s="1523"/>
      <c r="I32" s="1523"/>
      <c r="J32" s="1524"/>
      <c r="K32" s="225">
        <f t="shared" si="204"/>
        <v>0</v>
      </c>
      <c r="L32" s="225">
        <f t="shared" si="0"/>
        <v>0</v>
      </c>
      <c r="M32" s="1525"/>
      <c r="N32" s="1525"/>
      <c r="O32" s="1525"/>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0" t="s">
        <v>2626</v>
      </c>
      <c r="C33" s="1521"/>
      <c r="D33" s="1522"/>
      <c r="E33" s="1523"/>
      <c r="F33" s="1523"/>
      <c r="G33" s="1523"/>
      <c r="H33" s="1523"/>
      <c r="I33" s="1523"/>
      <c r="J33" s="1524"/>
      <c r="K33" s="225">
        <f t="shared" si="204"/>
        <v>0</v>
      </c>
      <c r="L33" s="225">
        <f t="shared" si="0"/>
        <v>0</v>
      </c>
      <c r="M33" s="1525"/>
      <c r="N33" s="1525"/>
      <c r="O33" s="1525"/>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0" t="s">
        <v>2626</v>
      </c>
      <c r="C34" s="1521"/>
      <c r="D34" s="1522"/>
      <c r="E34" s="1523"/>
      <c r="F34" s="1523"/>
      <c r="G34" s="1523"/>
      <c r="H34" s="1523"/>
      <c r="I34" s="1523"/>
      <c r="J34" s="1524"/>
      <c r="K34" s="225">
        <f t="shared" si="204"/>
        <v>0</v>
      </c>
      <c r="L34" s="225">
        <f t="shared" si="0"/>
        <v>0</v>
      </c>
      <c r="M34" s="1525"/>
      <c r="N34" s="1525"/>
      <c r="O34" s="1525"/>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0" t="s">
        <v>2626</v>
      </c>
      <c r="C35" s="1521"/>
      <c r="D35" s="1522"/>
      <c r="E35" s="1523"/>
      <c r="F35" s="1523"/>
      <c r="G35" s="1523"/>
      <c r="H35" s="1523"/>
      <c r="I35" s="1523"/>
      <c r="J35" s="1524"/>
      <c r="K35" s="225">
        <f t="shared" si="204"/>
        <v>0</v>
      </c>
      <c r="L35" s="225">
        <f t="shared" si="0"/>
        <v>0</v>
      </c>
      <c r="M35" s="1525"/>
      <c r="N35" s="1525"/>
      <c r="O35" s="1525"/>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0" t="s">
        <v>2626</v>
      </c>
      <c r="C36" s="1521"/>
      <c r="D36" s="1522"/>
      <c r="E36" s="1523"/>
      <c r="F36" s="1523"/>
      <c r="G36" s="1523"/>
      <c r="H36" s="1523"/>
      <c r="I36" s="1523"/>
      <c r="J36" s="1524"/>
      <c r="K36" s="225">
        <f t="shared" si="204"/>
        <v>0</v>
      </c>
      <c r="L36" s="225">
        <f t="shared" si="0"/>
        <v>0</v>
      </c>
      <c r="M36" s="1525"/>
      <c r="N36" s="1525"/>
      <c r="O36" s="1525"/>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0" t="s">
        <v>2626</v>
      </c>
      <c r="C37" s="1521"/>
      <c r="D37" s="1522"/>
      <c r="E37" s="1523"/>
      <c r="F37" s="1523"/>
      <c r="G37" s="1523"/>
      <c r="H37" s="1523"/>
      <c r="I37" s="1523"/>
      <c r="J37" s="1524"/>
      <c r="K37" s="225">
        <f t="shared" si="204"/>
        <v>0</v>
      </c>
      <c r="L37" s="225">
        <f t="shared" si="0"/>
        <v>0</v>
      </c>
      <c r="M37" s="1525"/>
      <c r="N37" s="1525"/>
      <c r="O37" s="1525"/>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0" t="s">
        <v>2626</v>
      </c>
      <c r="C38" s="1521"/>
      <c r="D38" s="1522"/>
      <c r="E38" s="1523"/>
      <c r="F38" s="1523"/>
      <c r="G38" s="1523"/>
      <c r="H38" s="1523"/>
      <c r="I38" s="1523"/>
      <c r="J38" s="1524"/>
      <c r="K38" s="225">
        <f>MAX(0,H38-I38)</f>
        <v>0</v>
      </c>
      <c r="L38" s="225">
        <f t="shared" si="0"/>
        <v>0</v>
      </c>
      <c r="M38" s="1525"/>
      <c r="N38" s="1525"/>
      <c r="O38" s="1525"/>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0" t="s">
        <v>2626</v>
      </c>
      <c r="C39" s="1521"/>
      <c r="D39" s="1522"/>
      <c r="E39" s="1523"/>
      <c r="F39" s="1523"/>
      <c r="G39" s="1523"/>
      <c r="H39" s="1523"/>
      <c r="I39" s="1523"/>
      <c r="J39" s="1524"/>
      <c r="K39" s="225">
        <f t="shared" ref="K39:K46" si="205">MAX(0,H39-I39)</f>
        <v>0</v>
      </c>
      <c r="L39" s="225">
        <f t="shared" si="0"/>
        <v>0</v>
      </c>
      <c r="M39" s="1525"/>
      <c r="N39" s="1525"/>
      <c r="O39" s="1525"/>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0" t="s">
        <v>2626</v>
      </c>
      <c r="C40" s="1521"/>
      <c r="D40" s="1522"/>
      <c r="E40" s="1523"/>
      <c r="F40" s="1523"/>
      <c r="G40" s="1523"/>
      <c r="H40" s="1523"/>
      <c r="I40" s="1523"/>
      <c r="J40" s="1524"/>
      <c r="K40" s="225">
        <f t="shared" si="205"/>
        <v>0</v>
      </c>
      <c r="L40" s="225">
        <f t="shared" si="0"/>
        <v>0</v>
      </c>
      <c r="M40" s="1525"/>
      <c r="N40" s="1525"/>
      <c r="O40" s="1525"/>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0" t="s">
        <v>2626</v>
      </c>
      <c r="C41" s="1521"/>
      <c r="D41" s="1522"/>
      <c r="E41" s="1523"/>
      <c r="F41" s="1523"/>
      <c r="G41" s="1523"/>
      <c r="H41" s="1523"/>
      <c r="I41" s="1523"/>
      <c r="J41" s="1524"/>
      <c r="K41" s="225">
        <f t="shared" si="205"/>
        <v>0</v>
      </c>
      <c r="L41" s="225">
        <f t="shared" si="0"/>
        <v>0</v>
      </c>
      <c r="M41" s="1525"/>
      <c r="N41" s="1525"/>
      <c r="O41" s="1525"/>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0" t="s">
        <v>2626</v>
      </c>
      <c r="C42" s="1521"/>
      <c r="D42" s="1522"/>
      <c r="E42" s="1523"/>
      <c r="F42" s="1523"/>
      <c r="G42" s="1523"/>
      <c r="H42" s="1523"/>
      <c r="I42" s="1523"/>
      <c r="J42" s="1524"/>
      <c r="K42" s="225">
        <f t="shared" si="205"/>
        <v>0</v>
      </c>
      <c r="L42" s="225">
        <f t="shared" si="0"/>
        <v>0</v>
      </c>
      <c r="M42" s="1525"/>
      <c r="N42" s="1525"/>
      <c r="O42" s="1525"/>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0" t="s">
        <v>2626</v>
      </c>
      <c r="C43" s="1521"/>
      <c r="D43" s="1522"/>
      <c r="E43" s="1523"/>
      <c r="F43" s="1523"/>
      <c r="G43" s="1523"/>
      <c r="H43" s="1523"/>
      <c r="I43" s="1523"/>
      <c r="J43" s="1524"/>
      <c r="K43" s="225">
        <f t="shared" si="205"/>
        <v>0</v>
      </c>
      <c r="L43" s="225">
        <f t="shared" si="0"/>
        <v>0</v>
      </c>
      <c r="M43" s="1525"/>
      <c r="N43" s="1525"/>
      <c r="O43" s="1525"/>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0" t="s">
        <v>2626</v>
      </c>
      <c r="C44" s="1521"/>
      <c r="D44" s="1522"/>
      <c r="E44" s="1523"/>
      <c r="F44" s="1523"/>
      <c r="G44" s="1523"/>
      <c r="H44" s="1523"/>
      <c r="I44" s="1523"/>
      <c r="J44" s="1524"/>
      <c r="K44" s="225">
        <f t="shared" si="205"/>
        <v>0</v>
      </c>
      <c r="L44" s="225">
        <f t="shared" si="0"/>
        <v>0</v>
      </c>
      <c r="M44" s="1525"/>
      <c r="N44" s="1525"/>
      <c r="O44" s="1525"/>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0" t="s">
        <v>2626</v>
      </c>
      <c r="C45" s="1521"/>
      <c r="D45" s="1522"/>
      <c r="E45" s="1523"/>
      <c r="F45" s="1523"/>
      <c r="G45" s="1523"/>
      <c r="H45" s="1523"/>
      <c r="I45" s="1523"/>
      <c r="J45" s="1524"/>
      <c r="K45" s="225">
        <f t="shared" si="205"/>
        <v>0</v>
      </c>
      <c r="L45" s="225">
        <f t="shared" si="0"/>
        <v>0</v>
      </c>
      <c r="M45" s="1525"/>
      <c r="N45" s="1525"/>
      <c r="O45" s="1525"/>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0" t="s">
        <v>2626</v>
      </c>
      <c r="C46" s="1521"/>
      <c r="D46" s="1522"/>
      <c r="E46" s="1523"/>
      <c r="F46" s="1523"/>
      <c r="G46" s="1523"/>
      <c r="H46" s="1523"/>
      <c r="I46" s="1523"/>
      <c r="J46" s="1524"/>
      <c r="K46" s="225">
        <f t="shared" si="205"/>
        <v>0</v>
      </c>
      <c r="L46" s="225">
        <f t="shared" si="0"/>
        <v>0</v>
      </c>
      <c r="M46" s="1525"/>
      <c r="N46" s="1525"/>
      <c r="O46" s="1525"/>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6" t="s">
        <v>2626</v>
      </c>
      <c r="C47" s="1527"/>
      <c r="D47" s="1528"/>
      <c r="E47" s="1529"/>
      <c r="F47" s="1529"/>
      <c r="G47" s="1529"/>
      <c r="H47" s="1529"/>
      <c r="I47" s="1529"/>
      <c r="J47" s="1530"/>
      <c r="K47" s="226">
        <f t="shared" si="204"/>
        <v>0</v>
      </c>
      <c r="L47" s="226">
        <f t="shared" si="0"/>
        <v>0</v>
      </c>
      <c r="M47" s="1531"/>
      <c r="N47" s="1531"/>
      <c r="O47" s="1531"/>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60</v>
      </c>
      <c r="F48" s="172">
        <f>(E10*F10+E11*F11+E12*F12+E13*F13+E14*F14+E15*F15+E16*F16+E17*F17+E18*F18+E19*F19+E20*F20+E21*F21+E22*F22+E23*F23+E24*F24+E25*F25+E26*F26+E27*F27+E28*F28+E29*F29+E30*F30+E31*F31+E32*F32+E33*F33+E34*F34+E35*F35+E36*F36+E37*F37+E38*F38+E39*F39+E40*F40+E41*F41+E42*F42+E43*F43+E44*F44+E45*F45+E46*F46+E47*F47)</f>
        <v>60972</v>
      </c>
      <c r="G48" s="163"/>
      <c r="H48" s="164"/>
      <c r="I48" s="164"/>
      <c r="J48" s="164"/>
      <c r="K48" s="15" t="s">
        <v>1869</v>
      </c>
      <c r="L48" s="170">
        <f>SUM(L10:L47)</f>
        <v>30351</v>
      </c>
      <c r="M48" s="2"/>
      <c r="N48" s="40"/>
      <c r="O48" s="2"/>
      <c r="P48" s="676"/>
      <c r="Q48" s="676"/>
      <c r="R48" s="676"/>
      <c r="S48" s="676"/>
      <c r="T48" s="675"/>
      <c r="U48" s="677"/>
      <c r="V48" s="779">
        <f t="shared" ref="V48:CK48" si="206">SUM(V10:V47)</f>
        <v>0</v>
      </c>
      <c r="W48" s="779">
        <f t="shared" si="206"/>
        <v>9</v>
      </c>
      <c r="X48" s="779">
        <f t="shared" si="206"/>
        <v>24</v>
      </c>
      <c r="Y48" s="779">
        <f t="shared" si="206"/>
        <v>15</v>
      </c>
      <c r="Z48" s="779">
        <f t="shared" si="206"/>
        <v>0</v>
      </c>
      <c r="AA48" s="779">
        <f t="shared" si="206"/>
        <v>0</v>
      </c>
      <c r="AB48" s="779">
        <f t="shared" si="206"/>
        <v>3</v>
      </c>
      <c r="AC48" s="779">
        <f t="shared" si="206"/>
        <v>6</v>
      </c>
      <c r="AD48" s="779">
        <f t="shared" si="206"/>
        <v>3</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6831</v>
      </c>
      <c r="CA48" s="779">
        <f t="shared" si="206"/>
        <v>25248</v>
      </c>
      <c r="CB48" s="779">
        <f t="shared" si="206"/>
        <v>16920</v>
      </c>
      <c r="CC48" s="779">
        <f t="shared" si="206"/>
        <v>0</v>
      </c>
      <c r="CD48" s="779">
        <f t="shared" si="206"/>
        <v>0</v>
      </c>
      <c r="CE48" s="779">
        <f t="shared" si="206"/>
        <v>2277</v>
      </c>
      <c r="CF48" s="779">
        <f t="shared" si="206"/>
        <v>6312</v>
      </c>
      <c r="CG48" s="779">
        <f t="shared" si="206"/>
        <v>3384</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12</v>
      </c>
      <c r="DE48" s="779">
        <f t="shared" si="208"/>
        <v>30</v>
      </c>
      <c r="DF48" s="779">
        <f t="shared" si="208"/>
        <v>18</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12</v>
      </c>
      <c r="EX48" s="779">
        <f t="shared" si="209"/>
        <v>30</v>
      </c>
      <c r="EY48" s="779">
        <f t="shared" si="209"/>
        <v>18</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12</v>
      </c>
      <c r="FW48" s="779">
        <f t="shared" si="209"/>
        <v>30</v>
      </c>
      <c r="FX48" s="779">
        <f t="shared" si="209"/>
        <v>18</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364212</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3670</v>
      </c>
      <c r="B51" s="1532"/>
      <c r="C51" s="1532"/>
      <c r="D51" s="1532"/>
      <c r="E51" s="1532"/>
      <c r="F51" s="1532"/>
      <c r="G51" s="1532"/>
      <c r="H51" s="1532"/>
      <c r="I51" s="1532"/>
      <c r="J51" s="1532"/>
      <c r="K51" s="1532"/>
      <c r="L51" s="1532"/>
      <c r="M51" s="1532"/>
      <c r="N51" s="1532"/>
      <c r="O51" s="1532"/>
      <c r="P51" s="153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2"/>
      <c r="B52" s="1532"/>
      <c r="C52" s="1532"/>
      <c r="D52" s="1532"/>
      <c r="E52" s="1532"/>
      <c r="F52" s="1532"/>
      <c r="G52" s="1532"/>
      <c r="H52" s="1532"/>
      <c r="I52" s="1532"/>
      <c r="J52" s="1532"/>
      <c r="K52" s="1532"/>
      <c r="L52" s="1532"/>
      <c r="M52" s="1532"/>
      <c r="N52" s="1532"/>
      <c r="O52" s="1532"/>
      <c r="P52" s="153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9</v>
      </c>
      <c r="J56" s="380">
        <f>X48</f>
        <v>24</v>
      </c>
      <c r="K56" s="380">
        <f>Y48</f>
        <v>15</v>
      </c>
      <c r="L56" s="380">
        <f>Z48</f>
        <v>0</v>
      </c>
      <c r="M56" s="380">
        <f t="shared" ref="M56:M62" si="211">SUM(H56:L56)</f>
        <v>48</v>
      </c>
      <c r="N56" s="1095" t="s">
        <v>1382</v>
      </c>
      <c r="O56" s="1096"/>
      <c r="P56" s="850"/>
      <c r="Q56" s="643">
        <f t="shared" ref="Q56:Q62" si="212">ABS(M56-AF56)</f>
        <v>48</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3</v>
      </c>
      <c r="J57" s="381">
        <f>AC48</f>
        <v>6</v>
      </c>
      <c r="K57" s="381">
        <f>AD48</f>
        <v>3</v>
      </c>
      <c r="L57" s="381">
        <f>AE48</f>
        <v>0</v>
      </c>
      <c r="M57" s="381">
        <f t="shared" si="211"/>
        <v>12</v>
      </c>
      <c r="N57" s="1095"/>
      <c r="O57" s="1096"/>
      <c r="P57" s="850"/>
      <c r="Q57" s="643">
        <f t="shared" si="212"/>
        <v>12</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12</v>
      </c>
      <c r="J58" s="382">
        <f>SUM(J56:J57)</f>
        <v>30</v>
      </c>
      <c r="K58" s="382">
        <f>SUM(K56:K57)</f>
        <v>18</v>
      </c>
      <c r="L58" s="382">
        <f>SUM(L56:L57)</f>
        <v>0</v>
      </c>
      <c r="M58" s="382">
        <f t="shared" si="211"/>
        <v>60</v>
      </c>
      <c r="N58" s="385"/>
      <c r="O58" s="110"/>
      <c r="Q58" s="643">
        <f t="shared" si="212"/>
        <v>60</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12</v>
      </c>
      <c r="J60" s="382">
        <f>SUM(J58:J59)</f>
        <v>30</v>
      </c>
      <c r="K60" s="382">
        <f>SUM(K58:K59)</f>
        <v>18</v>
      </c>
      <c r="L60" s="382">
        <f>SUM(L58:L59)</f>
        <v>0</v>
      </c>
      <c r="M60" s="382">
        <f t="shared" si="211"/>
        <v>60</v>
      </c>
      <c r="N60" s="65"/>
      <c r="O60" s="110"/>
      <c r="Q60" s="643">
        <f t="shared" si="212"/>
        <v>60</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3523</v>
      </c>
      <c r="D61" s="2"/>
      <c r="E61" s="2"/>
      <c r="F61" s="2"/>
      <c r="G61" s="44"/>
      <c r="H61" s="382">
        <f>BT48</f>
        <v>0</v>
      </c>
      <c r="I61" s="382">
        <f>BU48</f>
        <v>0</v>
      </c>
      <c r="J61" s="382">
        <f>BV48</f>
        <v>0</v>
      </c>
      <c r="K61" s="382">
        <f>BW48</f>
        <v>0</v>
      </c>
      <c r="L61" s="382">
        <f>BX48</f>
        <v>0</v>
      </c>
      <c r="M61" s="382">
        <f t="shared" si="211"/>
        <v>0</v>
      </c>
      <c r="N61" s="62" t="s">
        <v>3113</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12</v>
      </c>
      <c r="J62" s="382">
        <f>SUM(J60:J61)</f>
        <v>30</v>
      </c>
      <c r="K62" s="382">
        <f>SUM(K60:K61)</f>
        <v>18</v>
      </c>
      <c r="L62" s="382">
        <f>SUM(L60:L61)</f>
        <v>0</v>
      </c>
      <c r="M62" s="382">
        <f t="shared" si="211"/>
        <v>60</v>
      </c>
      <c r="O62" s="110"/>
      <c r="Q62" s="643">
        <f t="shared" si="212"/>
        <v>60</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3524</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3524</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3212</v>
      </c>
      <c r="F72" s="2"/>
      <c r="G72" s="44" t="s">
        <v>2014</v>
      </c>
      <c r="H72" s="380">
        <f>DC48</f>
        <v>0</v>
      </c>
      <c r="I72" s="380">
        <f>DD48</f>
        <v>12</v>
      </c>
      <c r="J72" s="380">
        <f>DE48</f>
        <v>30</v>
      </c>
      <c r="K72" s="380">
        <f>DF48</f>
        <v>18</v>
      </c>
      <c r="L72" s="380">
        <f>DG48</f>
        <v>0</v>
      </c>
      <c r="M72" s="380">
        <f t="shared" ref="M72:M82" si="213">SUM(H72:L72)</f>
        <v>60</v>
      </c>
      <c r="N72" s="31"/>
      <c r="O72" s="110"/>
      <c r="Q72" s="643">
        <f t="shared" ref="Q72:Q80" si="214">ABS(M72-AF72)</f>
        <v>60</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12</v>
      </c>
      <c r="J74" s="382">
        <f>SUM(J72:J73)+DO48</f>
        <v>30</v>
      </c>
      <c r="K74" s="382">
        <f>SUM(K72:K73)+DP48</f>
        <v>18</v>
      </c>
      <c r="L74" s="382">
        <f>SUM(L72:L73)+DQ48</f>
        <v>0</v>
      </c>
      <c r="M74" s="382">
        <f t="shared" si="213"/>
        <v>60</v>
      </c>
      <c r="N74" s="62"/>
      <c r="O74" s="110"/>
      <c r="Q74" s="643">
        <f t="shared" si="214"/>
        <v>60</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3"/>
      <c r="I81" s="1533">
        <v>12</v>
      </c>
      <c r="J81" s="1533">
        <v>30</v>
      </c>
      <c r="K81" s="1533">
        <v>18</v>
      </c>
      <c r="L81" s="1533"/>
      <c r="M81" s="380">
        <f t="shared" si="213"/>
        <v>60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4"/>
      <c r="I82" s="1534"/>
      <c r="J82" s="1534"/>
      <c r="K82" s="1534"/>
      <c r="L82" s="1534"/>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12</v>
      </c>
      <c r="J84" s="380">
        <f t="shared" si="215"/>
        <v>30</v>
      </c>
      <c r="K84" s="380">
        <f t="shared" si="215"/>
        <v>18</v>
      </c>
      <c r="L84" s="380">
        <f t="shared" si="215"/>
        <v>0</v>
      </c>
      <c r="M84" s="380">
        <f>SUM(H84:L84)</f>
        <v>60</v>
      </c>
      <c r="N84" s="31"/>
      <c r="O84" s="110"/>
      <c r="Q84" s="643">
        <f>ABS(M84-AF84)</f>
        <v>60</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3644</v>
      </c>
      <c r="H85" s="383">
        <f>FU48</f>
        <v>0</v>
      </c>
      <c r="I85" s="383">
        <f t="shared" ref="I85:L85" si="216">FV48</f>
        <v>12</v>
      </c>
      <c r="J85" s="383">
        <f t="shared" si="216"/>
        <v>30</v>
      </c>
      <c r="K85" s="383">
        <f t="shared" si="216"/>
        <v>18</v>
      </c>
      <c r="L85" s="383">
        <f t="shared" si="216"/>
        <v>0</v>
      </c>
      <c r="M85" s="381">
        <f t="shared" ref="M85:M88" si="217">SUM(H85:L85)</f>
        <v>60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3645</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3647</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3646</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3057</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6831</v>
      </c>
      <c r="J94" s="221">
        <f>CA48</f>
        <v>25248</v>
      </c>
      <c r="K94" s="221">
        <f>CB48</f>
        <v>16920</v>
      </c>
      <c r="L94" s="221">
        <f>CC48</f>
        <v>0</v>
      </c>
      <c r="M94" s="221">
        <f t="shared" ref="M94:M100" si="221">SUM(H94:L94)</f>
        <v>48999</v>
      </c>
      <c r="O94" s="110"/>
      <c r="Q94" s="643">
        <f t="shared" ref="Q94:Q100" si="222">ABS(M94-AF94)</f>
        <v>48999</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2277</v>
      </c>
      <c r="J95" s="223">
        <f>CF48</f>
        <v>6312</v>
      </c>
      <c r="K95" s="223">
        <f>CG48</f>
        <v>3384</v>
      </c>
      <c r="L95" s="223">
        <f>CH48</f>
        <v>0</v>
      </c>
      <c r="M95" s="223">
        <f t="shared" si="221"/>
        <v>11973</v>
      </c>
      <c r="N95" s="6"/>
      <c r="O95" s="110"/>
      <c r="Q95" s="643">
        <f t="shared" si="222"/>
        <v>11973</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9108</v>
      </c>
      <c r="J96" s="220">
        <f>SUM(J94:J95)</f>
        <v>31560</v>
      </c>
      <c r="K96" s="220">
        <f>SUM(K94:K95)</f>
        <v>20304</v>
      </c>
      <c r="L96" s="220">
        <f>SUM(L94:L95)</f>
        <v>0</v>
      </c>
      <c r="M96" s="220">
        <f t="shared" si="221"/>
        <v>60972</v>
      </c>
      <c r="N96" s="6"/>
      <c r="O96" s="110"/>
      <c r="Q96" s="643">
        <f t="shared" si="222"/>
        <v>60972</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9108</v>
      </c>
      <c r="J98" s="220">
        <f>SUM(J96:J97)</f>
        <v>31560</v>
      </c>
      <c r="K98" s="220">
        <f>SUM(K96:K97)</f>
        <v>20304</v>
      </c>
      <c r="L98" s="220">
        <f>SUM(L96:L97)</f>
        <v>0</v>
      </c>
      <c r="M98" s="220">
        <f t="shared" si="221"/>
        <v>60972</v>
      </c>
      <c r="O98" s="110"/>
      <c r="Q98" s="643">
        <f t="shared" si="222"/>
        <v>60972</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3523</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9108</v>
      </c>
      <c r="J100" s="220">
        <f>SUM(J98:J99)</f>
        <v>31560</v>
      </c>
      <c r="K100" s="220">
        <f>SUM(K98:K99)</f>
        <v>20304</v>
      </c>
      <c r="L100" s="220">
        <f>SUM(L98:L99)</f>
        <v>0</v>
      </c>
      <c r="M100" s="220">
        <f t="shared" si="221"/>
        <v>60972</v>
      </c>
      <c r="O100" s="110"/>
      <c r="Q100" s="643">
        <f t="shared" si="222"/>
        <v>60972</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5">
        <v>7200</v>
      </c>
      <c r="H104" s="1536"/>
      <c r="I104" s="147" t="s">
        <v>3961</v>
      </c>
      <c r="O104" s="815">
        <f>G104/L49</f>
        <v>1.9768706138183257E-2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3199</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7"/>
      <c r="H109" s="1537"/>
      <c r="I109" s="1537"/>
      <c r="J109" s="1537"/>
      <c r="K109" s="1538"/>
      <c r="L109" s="1537"/>
      <c r="M109" s="1537"/>
      <c r="N109" s="1537"/>
      <c r="O109" s="1537"/>
      <c r="P109" s="1537"/>
      <c r="T109" s="1460"/>
      <c r="U109" s="1461"/>
    </row>
    <row r="110" spans="1:222" ht="15" customHeight="1">
      <c r="B110" s="9" t="s">
        <v>1137</v>
      </c>
      <c r="C110" s="1539"/>
      <c r="D110" s="1540"/>
      <c r="E110" s="1540"/>
      <c r="F110" s="1541"/>
      <c r="G110" s="1542"/>
      <c r="H110" s="1542"/>
      <c r="I110" s="1542"/>
      <c r="J110" s="1542"/>
      <c r="K110" s="1543"/>
      <c r="L110" s="1542"/>
      <c r="M110" s="1542"/>
      <c r="N110" s="1542"/>
      <c r="O110" s="1542"/>
      <c r="P110" s="1542"/>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7"/>
      <c r="H114" s="1537"/>
      <c r="I114" s="1537"/>
      <c r="J114" s="1537"/>
      <c r="K114" s="1538"/>
      <c r="L114" s="1537"/>
      <c r="M114" s="1537"/>
      <c r="N114" s="1537"/>
      <c r="O114" s="1537"/>
      <c r="P114" s="1537"/>
      <c r="T114" s="1462"/>
      <c r="U114" s="1463"/>
    </row>
    <row r="115" spans="2:21" ht="15" customHeight="1">
      <c r="B115" s="9" t="s">
        <v>1137</v>
      </c>
      <c r="C115" s="1539"/>
      <c r="D115" s="1540"/>
      <c r="E115" s="1540"/>
      <c r="F115" s="1541"/>
      <c r="G115" s="1542"/>
      <c r="H115" s="1542"/>
      <c r="I115" s="1542"/>
      <c r="J115" s="1542"/>
      <c r="K115" s="1543"/>
      <c r="L115" s="1542"/>
      <c r="M115" s="1542"/>
      <c r="N115" s="1542"/>
      <c r="O115" s="1542"/>
      <c r="P115" s="1542"/>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3671</v>
      </c>
    </row>
    <row r="118" spans="2:21" ht="13.9" customHeight="1">
      <c r="B118" s="554" t="s">
        <v>3199</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7"/>
      <c r="H119" s="1537"/>
      <c r="I119" s="1537"/>
      <c r="J119" s="1537"/>
      <c r="K119" s="1538"/>
      <c r="L119" s="1537"/>
      <c r="M119" s="1537"/>
      <c r="N119" s="1537"/>
      <c r="O119" s="1537"/>
      <c r="P119" s="1537"/>
      <c r="T119" s="1460"/>
      <c r="U119" s="1461"/>
    </row>
    <row r="120" spans="2:21" ht="15" customHeight="1">
      <c r="B120" s="9" t="s">
        <v>1137</v>
      </c>
      <c r="C120" s="1539"/>
      <c r="D120" s="1540"/>
      <c r="E120" s="1540"/>
      <c r="F120" s="1541"/>
      <c r="G120" s="1542"/>
      <c r="H120" s="1542"/>
      <c r="I120" s="1542"/>
      <c r="J120" s="1542"/>
      <c r="K120" s="1543"/>
      <c r="L120" s="1542"/>
      <c r="M120" s="1542"/>
      <c r="N120" s="1542"/>
      <c r="O120" s="1542"/>
      <c r="P120" s="1542"/>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7"/>
      <c r="H124" s="1537"/>
      <c r="I124" s="1537"/>
      <c r="J124" s="1537"/>
      <c r="K124" s="1538"/>
      <c r="L124" s="1537"/>
      <c r="M124" s="1537"/>
      <c r="N124" s="1537"/>
      <c r="O124" s="1537"/>
      <c r="P124" s="1537"/>
      <c r="T124" s="1462"/>
      <c r="U124" s="1463"/>
    </row>
    <row r="125" spans="2:21" ht="15" customHeight="1">
      <c r="B125" s="9" t="s">
        <v>1137</v>
      </c>
      <c r="C125" s="1539"/>
      <c r="D125" s="1540"/>
      <c r="E125" s="1540"/>
      <c r="F125" s="1541"/>
      <c r="G125" s="1542"/>
      <c r="H125" s="1542"/>
      <c r="I125" s="1542"/>
      <c r="J125" s="1542"/>
      <c r="K125" s="1543"/>
      <c r="L125" s="1542"/>
      <c r="M125" s="1542"/>
      <c r="N125" s="1542"/>
      <c r="O125" s="1542"/>
      <c r="P125" s="1542"/>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3672</v>
      </c>
    </row>
    <row r="128" spans="2:21" ht="13.9" customHeight="1">
      <c r="B128" s="554" t="s">
        <v>3199</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7"/>
      <c r="H129" s="1537"/>
      <c r="I129" s="1537"/>
      <c r="J129" s="1537"/>
      <c r="K129" s="1538"/>
      <c r="L129" s="1537"/>
      <c r="M129" s="1537"/>
      <c r="N129" s="1537"/>
      <c r="O129" s="1537"/>
      <c r="P129" s="1537"/>
      <c r="T129" s="1460"/>
      <c r="U129" s="1461"/>
    </row>
    <row r="130" spans="1:255" ht="15" customHeight="1">
      <c r="B130" s="9" t="s">
        <v>1137</v>
      </c>
      <c r="C130" s="1539"/>
      <c r="D130" s="1540"/>
      <c r="E130" s="1540"/>
      <c r="F130" s="1541"/>
      <c r="G130" s="1542"/>
      <c r="H130" s="1542"/>
      <c r="I130" s="1542"/>
      <c r="J130" s="1542"/>
      <c r="K130" s="1543"/>
      <c r="L130" s="1542"/>
      <c r="M130" s="1542"/>
      <c r="N130" s="1542"/>
      <c r="O130" s="1542"/>
      <c r="P130" s="1542"/>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7"/>
      <c r="H134" s="1537"/>
      <c r="I134" s="1537"/>
      <c r="J134" s="1537"/>
      <c r="K134" s="1538"/>
      <c r="L134" s="1537"/>
      <c r="M134" s="1537"/>
      <c r="N134" s="1537"/>
      <c r="O134" s="1537"/>
      <c r="P134" s="1537"/>
      <c r="T134" s="1462"/>
      <c r="U134" s="1463"/>
    </row>
    <row r="135" spans="1:255" ht="15" customHeight="1">
      <c r="B135" s="9" t="s">
        <v>1137</v>
      </c>
      <c r="C135" s="1539"/>
      <c r="D135" s="1540"/>
      <c r="E135" s="1540"/>
      <c r="F135" s="1541"/>
      <c r="G135" s="1542"/>
      <c r="H135" s="1542"/>
      <c r="I135" s="1542"/>
      <c r="J135" s="1542"/>
      <c r="K135" s="1543"/>
      <c r="L135" s="1542"/>
      <c r="M135" s="1542"/>
      <c r="N135" s="1542"/>
      <c r="O135" s="1542"/>
      <c r="P135" s="1542"/>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2647</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3090</v>
      </c>
      <c r="C141" s="2"/>
      <c r="D141" s="2"/>
      <c r="E141" s="2"/>
      <c r="F141" s="1544">
        <v>33800</v>
      </c>
      <c r="G141" s="1545"/>
      <c r="H141" s="2"/>
      <c r="I141" s="2" t="s">
        <v>1946</v>
      </c>
      <c r="J141" s="2"/>
      <c r="K141" s="1544"/>
      <c r="L141" s="1545"/>
      <c r="M141" s="2"/>
      <c r="N141" s="2" t="s">
        <v>1423</v>
      </c>
      <c r="O141" s="2"/>
      <c r="P141" s="1546">
        <v>19170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4">
        <f>31096+10816</f>
        <v>41912</v>
      </c>
      <c r="G142" s="1545"/>
      <c r="H142" s="2"/>
      <c r="I142" s="2" t="s">
        <v>1947</v>
      </c>
      <c r="J142" s="2"/>
      <c r="K142" s="1544"/>
      <c r="L142" s="1545"/>
      <c r="M142" s="2"/>
      <c r="N142" s="2" t="s">
        <v>182</v>
      </c>
      <c r="O142" s="2"/>
      <c r="P142" s="1546">
        <v>13881</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4"/>
      <c r="G143" s="1545"/>
      <c r="H143" s="2"/>
      <c r="I143" s="2"/>
      <c r="J143" s="169" t="s">
        <v>230</v>
      </c>
      <c r="K143" s="1091">
        <f>SUM(K141:L142)</f>
        <v>0</v>
      </c>
      <c r="L143" s="1092"/>
      <c r="M143" s="2"/>
      <c r="N143" s="1547" t="s">
        <v>57</v>
      </c>
      <c r="O143" s="1548"/>
      <c r="P143" s="1549"/>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0" t="s">
        <v>4039</v>
      </c>
      <c r="C144" s="1551"/>
      <c r="D144" s="1551"/>
      <c r="E144" s="1552"/>
      <c r="F144" s="1553">
        <f>12519+2176</f>
        <v>14695</v>
      </c>
      <c r="G144" s="1554"/>
      <c r="H144" s="2"/>
      <c r="I144" s="2"/>
      <c r="J144" s="2"/>
      <c r="K144" s="2"/>
      <c r="L144" s="2"/>
      <c r="M144" s="2"/>
      <c r="N144" s="13" t="s">
        <v>230</v>
      </c>
      <c r="O144" s="2"/>
      <c r="P144" s="633">
        <f>SUM(P141:P143)</f>
        <v>33051</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90407</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20725</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4">
        <v>4200</v>
      </c>
      <c r="G148" s="1545"/>
      <c r="H148" s="2"/>
      <c r="I148" s="2" t="s">
        <v>2211</v>
      </c>
      <c r="J148" s="2"/>
      <c r="K148" s="1555">
        <v>1200</v>
      </c>
      <c r="L148" s="1556"/>
      <c r="M148" s="2"/>
      <c r="N148" s="595">
        <f>+P147/(M62*0.93)</f>
        <v>371.41577060931894</v>
      </c>
      <c r="O148" s="30" t="s">
        <v>3587</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4">
        <v>5700</v>
      </c>
      <c r="G149" s="1545"/>
      <c r="H149" s="2"/>
      <c r="I149" s="2" t="s">
        <v>2934</v>
      </c>
      <c r="J149" s="2"/>
      <c r="K149" s="1557">
        <v>2400</v>
      </c>
      <c r="L149" s="1558"/>
      <c r="M149" s="2"/>
      <c r="N149" s="595">
        <f>+P147/(M62*0.93)/12</f>
        <v>30.951314217443244</v>
      </c>
      <c r="O149" s="30" t="s">
        <v>3588</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4"/>
      <c r="G150" s="1545"/>
      <c r="H150" s="2"/>
      <c r="I150" s="2" t="s">
        <v>2212</v>
      </c>
      <c r="J150" s="2"/>
      <c r="K150" s="1557">
        <v>1535</v>
      </c>
      <c r="L150" s="1558"/>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3264</v>
      </c>
      <c r="C151" s="2"/>
      <c r="D151" s="10"/>
      <c r="E151" s="2"/>
      <c r="F151" s="1544"/>
      <c r="G151" s="1545"/>
      <c r="H151" s="2"/>
      <c r="I151" s="1547" t="s">
        <v>4041</v>
      </c>
      <c r="J151" s="1548"/>
      <c r="K151" s="1555">
        <v>5500</v>
      </c>
      <c r="L151" s="1556"/>
      <c r="M151" s="2"/>
      <c r="N151" s="1103" t="s">
        <v>3464</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4">
        <v>900</v>
      </c>
      <c r="G152" s="1545"/>
      <c r="H152" s="2"/>
      <c r="I152" s="11"/>
      <c r="J152" s="13" t="s">
        <v>230</v>
      </c>
      <c r="K152" s="1099">
        <f>SUM(K148:K151)</f>
        <v>10635</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0" t="s">
        <v>4042</v>
      </c>
      <c r="C153" s="1551"/>
      <c r="D153" s="1551"/>
      <c r="E153" s="1552"/>
      <c r="F153" s="1553">
        <v>300</v>
      </c>
      <c r="G153" s="1554"/>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11100</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3316</v>
      </c>
      <c r="K156" s="2"/>
      <c r="L156" s="2"/>
      <c r="M156" s="2"/>
      <c r="N156" s="11" t="s">
        <v>3080</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9">
        <f>900+4200+50</f>
        <v>5150</v>
      </c>
      <c r="G157" s="1560"/>
      <c r="H157" s="2"/>
      <c r="I157" s="2" t="s">
        <v>1936</v>
      </c>
      <c r="J157" s="630">
        <f>K157/12/$M$62</f>
        <v>15.833333333333334</v>
      </c>
      <c r="K157" s="1557">
        <v>11400</v>
      </c>
      <c r="L157" s="1558"/>
      <c r="M157" s="2"/>
      <c r="N157" s="364">
        <f>+$P$157/$M$62</f>
        <v>3929.3</v>
      </c>
      <c r="O157" s="30" t="s">
        <v>1974</v>
      </c>
      <c r="P157" s="631">
        <f>F145+F154+F165+K143+K152+K162+P144+P147</f>
        <v>235758</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9"/>
      <c r="G158" s="1560"/>
      <c r="H158" s="2"/>
      <c r="I158" s="2" t="s">
        <v>1937</v>
      </c>
      <c r="J158" s="630">
        <f>K158/12/$M$62</f>
        <v>0</v>
      </c>
      <c r="K158" s="1557"/>
      <c r="L158" s="1558"/>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9">
        <f>3600+2000</f>
        <v>5600</v>
      </c>
      <c r="G159" s="1560"/>
      <c r="H159" s="2"/>
      <c r="I159" s="2" t="s">
        <v>3315</v>
      </c>
      <c r="J159" s="630">
        <f>K159/12/$M$62</f>
        <v>39.583333333333336</v>
      </c>
      <c r="K159" s="1557">
        <f>14200+14300</f>
        <v>28500</v>
      </c>
      <c r="L159" s="1558"/>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4">
        <f>1680+150</f>
        <v>1830</v>
      </c>
      <c r="G160" s="1545"/>
      <c r="H160" s="2"/>
      <c r="I160" s="2" t="s">
        <v>1939</v>
      </c>
      <c r="J160" s="2"/>
      <c r="K160" s="1557">
        <v>5800</v>
      </c>
      <c r="L160" s="1558"/>
      <c r="M160" s="2"/>
      <c r="N160" s="11" t="s">
        <v>1796</v>
      </c>
      <c r="O160" s="11"/>
      <c r="P160" s="632">
        <f>P161*M62</f>
        <v>25200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4">
        <f>900+3400</f>
        <v>4300</v>
      </c>
      <c r="G161" s="1545"/>
      <c r="H161" s="2"/>
      <c r="I161" s="1547" t="s">
        <v>57</v>
      </c>
      <c r="J161" s="1548"/>
      <c r="K161" s="1555"/>
      <c r="L161" s="1556"/>
      <c r="M161" s="2"/>
      <c r="N161" s="30" t="s">
        <v>639</v>
      </c>
      <c r="O161" s="2"/>
      <c r="P161" s="1561">
        <v>420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4"/>
      <c r="G162" s="1545"/>
      <c r="H162" s="2"/>
      <c r="I162" s="2"/>
      <c r="J162" s="13" t="s">
        <v>230</v>
      </c>
      <c r="K162" s="1099">
        <f>SUM(K157:K161)</f>
        <v>45700</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4">
        <f>3300+2200</f>
        <v>5500</v>
      </c>
      <c r="G163" s="1545"/>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0" t="s">
        <v>4040</v>
      </c>
      <c r="C164" s="1551"/>
      <c r="D164" s="1551"/>
      <c r="E164" s="1552"/>
      <c r="F164" s="1553">
        <v>1760</v>
      </c>
      <c r="G164" s="1554"/>
      <c r="H164" s="2"/>
      <c r="I164" s="2"/>
      <c r="J164" s="14"/>
      <c r="K164" s="2"/>
      <c r="L164" s="2"/>
      <c r="M164" s="2"/>
      <c r="N164" s="11" t="s">
        <v>3081</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24140</v>
      </c>
      <c r="G165" s="1102"/>
      <c r="H165" s="2"/>
      <c r="I165" s="2"/>
      <c r="J165" s="14"/>
      <c r="K165" s="2"/>
      <c r="L165" s="2"/>
      <c r="M165" s="2"/>
      <c r="N165" s="2"/>
      <c r="O165" s="2"/>
      <c r="P165" s="631">
        <f>P157+P160</f>
        <v>260958</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2716</v>
      </c>
    </row>
    <row r="168" spans="1:255" ht="132.75" customHeight="1">
      <c r="A168" s="1360" t="s">
        <v>4092</v>
      </c>
      <c r="B168" s="1361"/>
      <c r="C168" s="1361"/>
      <c r="D168" s="1361"/>
      <c r="E168" s="1361"/>
      <c r="F168" s="1361"/>
      <c r="G168" s="1361"/>
      <c r="H168" s="1361"/>
      <c r="I168" s="1361"/>
      <c r="J168" s="1362"/>
      <c r="K168" s="1363"/>
      <c r="L168" s="1364"/>
      <c r="M168" s="1364"/>
      <c r="N168" s="1364"/>
      <c r="O168" s="1364"/>
      <c r="P168" s="1365"/>
      <c r="T168" s="952" t="s">
        <v>3964</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2" stopIfTrue="1">
      <formula>AND($B10="PHA", $H10&gt;0)</formula>
    </cfRule>
  </conditionalFormatting>
  <conditionalFormatting sqref="Q83:S100 Q56:S80">
    <cfRule type="cellIs" dxfId="3" priority="3" stopIfTrue="1" operator="greaterThan">
      <formula>0</formula>
    </cfRule>
  </conditionalFormatting>
  <conditionalFormatting sqref="A10:A47">
    <cfRule type="cellIs" dxfId="2" priority="4" stopIfTrue="1" operator="equal">
      <formula>1</formula>
    </cfRule>
  </conditionalFormatting>
  <conditionalFormatting sqref="H11">
    <cfRule type="expression" priority="1" stopIfTrue="1">
      <formula>AND($B11="PHA", $H11&gt;0)</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2012-017 Cherokee Mill Lofts, Calhoun, Gordon County</v>
      </c>
      <c r="B1" s="1108"/>
      <c r="C1" s="1108"/>
      <c r="D1" s="1108"/>
      <c r="E1" s="1108"/>
      <c r="F1" s="1108"/>
      <c r="G1" s="1108"/>
      <c r="H1" s="1108"/>
      <c r="I1" s="1108"/>
      <c r="J1" s="1108"/>
      <c r="K1" s="1109"/>
      <c r="L1" s="11"/>
      <c r="M1" s="1105" t="str">
        <f>A1</f>
        <v>PART SEVEN - OPERATING PRO FORMA  -  2012-017 Cherokee Mill Lofts, Calhoun, Gordon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3082</v>
      </c>
      <c r="B5" s="105">
        <v>0.02</v>
      </c>
      <c r="C5" s="19"/>
      <c r="D5" s="19" t="s">
        <v>1269</v>
      </c>
      <c r="F5" s="19"/>
      <c r="G5" s="1562">
        <v>5000</v>
      </c>
      <c r="H5" s="128" t="s">
        <v>2784</v>
      </c>
      <c r="K5" s="133">
        <f>IF(($B$14+$B$15+$B$16+$B$17)=0,"",-B28/($B$14+$B$15+$B$16+$B$17))</f>
        <v>1.4475418365646522E-2</v>
      </c>
      <c r="M5" s="1460"/>
      <c r="N5" s="1461"/>
    </row>
    <row r="6" spans="1:15">
      <c r="A6" s="19" t="s">
        <v>3083</v>
      </c>
      <c r="B6" s="105">
        <v>0.03</v>
      </c>
      <c r="C6" s="19"/>
      <c r="D6" s="19" t="s">
        <v>1270</v>
      </c>
      <c r="F6" s="19"/>
      <c r="G6" s="1562">
        <v>30000</v>
      </c>
      <c r="H6" s="128" t="s">
        <v>3345</v>
      </c>
      <c r="K6" s="133">
        <f>IF(($B$14+$B$15+$B$16+$B$17)=0,"",G6/($B$14+$B$15+$B$16+$B$17))</f>
        <v>8.6852510193879129E-2</v>
      </c>
      <c r="M6" s="1462"/>
      <c r="N6" s="1463"/>
    </row>
    <row r="7" spans="1:15">
      <c r="A7" s="19" t="s">
        <v>3085</v>
      </c>
      <c r="B7" s="105">
        <v>0.03</v>
      </c>
      <c r="C7" s="19"/>
      <c r="D7" s="107" t="s">
        <v>332</v>
      </c>
      <c r="G7" s="109"/>
      <c r="H7" s="128" t="s">
        <v>3346</v>
      </c>
      <c r="K7" s="133">
        <f>IF(($B$14+$B$15+$B$16+$B$17)=0,"",-B20/($B$14+$B$15+$B$16+$B$17))</f>
        <v>6.0000609125604829E-2</v>
      </c>
      <c r="M7" s="1462"/>
      <c r="N7" s="1463"/>
    </row>
    <row r="8" spans="1:15" ht="13.15" customHeight="1">
      <c r="A8" s="19" t="s">
        <v>3084</v>
      </c>
      <c r="B8" s="1563">
        <v>7.0000000000000007E-2</v>
      </c>
      <c r="C8" s="19"/>
      <c r="D8" s="106" t="s">
        <v>3516</v>
      </c>
      <c r="G8" s="1564" t="s">
        <v>3979</v>
      </c>
      <c r="H8" s="230" t="s">
        <v>2028</v>
      </c>
      <c r="K8" s="1565"/>
      <c r="M8" s="1462"/>
      <c r="N8" s="1463"/>
    </row>
    <row r="9" spans="1:15">
      <c r="A9" s="19" t="s">
        <v>1992</v>
      </c>
      <c r="B9" s="105">
        <v>0.02</v>
      </c>
      <c r="D9" s="106" t="s">
        <v>2570</v>
      </c>
      <c r="G9" s="1564" t="s">
        <v>3981</v>
      </c>
      <c r="H9" s="230" t="s">
        <v>3321</v>
      </c>
      <c r="K9" s="1566">
        <v>0.06</v>
      </c>
      <c r="M9" s="1465"/>
      <c r="N9" s="1466"/>
    </row>
    <row r="10" spans="1:15" ht="13.5" customHeight="1"/>
    <row r="11" spans="1:15">
      <c r="A11" s="16" t="s">
        <v>97</v>
      </c>
      <c r="M11" s="16" t="str">
        <f>A11</f>
        <v>II.  OPERATING PRO FORMA</v>
      </c>
    </row>
    <row r="12" spans="1:15" ht="2.4500000000000002" customHeight="1"/>
    <row r="13" spans="1:15" ht="14.45" customHeight="1">
      <c r="A13" s="16" t="s">
        <v>3484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3673</v>
      </c>
      <c r="N13" s="954"/>
    </row>
    <row r="14" spans="1:15" ht="13.15" customHeight="1">
      <c r="A14" s="21" t="s">
        <v>3383</v>
      </c>
      <c r="B14" s="22">
        <f>'Part VI-Revenues &amp; Expenses'!L49</f>
        <v>364212</v>
      </c>
      <c r="C14" s="22">
        <f t="shared" ref="C14:K14" si="1">$B$14*(1+$B$5)^(C13-1)</f>
        <v>371496.24</v>
      </c>
      <c r="D14" s="22">
        <f t="shared" si="1"/>
        <v>378926.16479999997</v>
      </c>
      <c r="E14" s="22">
        <f t="shared" si="1"/>
        <v>386504.688096</v>
      </c>
      <c r="F14" s="22">
        <f t="shared" si="1"/>
        <v>394234.78185792</v>
      </c>
      <c r="G14" s="22">
        <f t="shared" si="1"/>
        <v>402119.4774950784</v>
      </c>
      <c r="H14" s="22">
        <f t="shared" si="1"/>
        <v>410161.86704498</v>
      </c>
      <c r="I14" s="22">
        <f t="shared" si="1"/>
        <v>418365.10438587947</v>
      </c>
      <c r="J14" s="22">
        <f t="shared" si="1"/>
        <v>426732.4064735971</v>
      </c>
      <c r="K14" s="23">
        <f t="shared" si="1"/>
        <v>435267.05460306909</v>
      </c>
      <c r="M14" s="1460"/>
      <c r="N14" s="1461"/>
    </row>
    <row r="15" spans="1:15" ht="13.15" customHeight="1">
      <c r="A15" s="24" t="s">
        <v>1519</v>
      </c>
      <c r="B15" s="25">
        <f>MIN(B14*B9,'Part VI-Revenues &amp; Expenses'!G104)</f>
        <v>7200</v>
      </c>
      <c r="C15" s="25">
        <f t="shared" ref="C15:K15" si="2">$B$15*(1+$B$5)^(C13-1)</f>
        <v>7344</v>
      </c>
      <c r="D15" s="25">
        <f t="shared" si="2"/>
        <v>7490.88</v>
      </c>
      <c r="E15" s="25">
        <f t="shared" si="2"/>
        <v>7640.6975999999995</v>
      </c>
      <c r="F15" s="25">
        <f t="shared" si="2"/>
        <v>7793.5115519999999</v>
      </c>
      <c r="G15" s="25">
        <f t="shared" si="2"/>
        <v>7949.3817830400003</v>
      </c>
      <c r="H15" s="25">
        <f t="shared" si="2"/>
        <v>8108.3694187008005</v>
      </c>
      <c r="I15" s="25">
        <f t="shared" si="2"/>
        <v>8270.5368070748154</v>
      </c>
      <c r="J15" s="25">
        <f t="shared" si="2"/>
        <v>8435.9475432163126</v>
      </c>
      <c r="K15" s="26">
        <f t="shared" si="2"/>
        <v>8604.6664940806386</v>
      </c>
      <c r="M15" s="1462"/>
      <c r="N15" s="1463"/>
    </row>
    <row r="16" spans="1:15" ht="13.15" customHeight="1">
      <c r="A16" s="24" t="s">
        <v>3384</v>
      </c>
      <c r="B16" s="25">
        <f t="shared" ref="B16:K16" si="3">-(B14+B15)*$B$8</f>
        <v>-25998.840000000004</v>
      </c>
      <c r="C16" s="25">
        <f t="shared" si="3"/>
        <v>-26518.816800000001</v>
      </c>
      <c r="D16" s="25">
        <f t="shared" si="3"/>
        <v>-27049.193136000002</v>
      </c>
      <c r="E16" s="25">
        <f t="shared" si="3"/>
        <v>-27590.176998720002</v>
      </c>
      <c r="F16" s="25">
        <f t="shared" si="3"/>
        <v>-28141.980538694403</v>
      </c>
      <c r="G16" s="25">
        <f t="shared" si="3"/>
        <v>-28704.820149468291</v>
      </c>
      <c r="H16" s="25">
        <f t="shared" si="3"/>
        <v>-29278.91655245766</v>
      </c>
      <c r="I16" s="25">
        <f t="shared" si="3"/>
        <v>-29864.494883506803</v>
      </c>
      <c r="J16" s="25">
        <f t="shared" si="3"/>
        <v>-30461.784781176939</v>
      </c>
      <c r="K16" s="26">
        <f t="shared" si="3"/>
        <v>-31071.020476800484</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-215033</v>
      </c>
      <c r="C19" s="25">
        <f t="shared" ref="C19:K19" si="4">$B$19*(1+$B$6)^(C13-1)</f>
        <v>-221483.99000000002</v>
      </c>
      <c r="D19" s="25">
        <f t="shared" si="4"/>
        <v>-228128.5097</v>
      </c>
      <c r="E19" s="25">
        <f t="shared" si="4"/>
        <v>-234972.36499100001</v>
      </c>
      <c r="F19" s="25">
        <f t="shared" si="4"/>
        <v>-242021.53594072998</v>
      </c>
      <c r="G19" s="25">
        <f t="shared" si="4"/>
        <v>-249282.18201895186</v>
      </c>
      <c r="H19" s="25">
        <f t="shared" si="4"/>
        <v>-256760.64747952044</v>
      </c>
      <c r="I19" s="25">
        <f t="shared" si="4"/>
        <v>-264463.46690390608</v>
      </c>
      <c r="J19" s="25">
        <f t="shared" si="4"/>
        <v>-272397.37091102323</v>
      </c>
      <c r="K19" s="26">
        <f t="shared" si="4"/>
        <v>-280569.29203835392</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-20725</v>
      </c>
      <c r="C20" s="25">
        <f>IF(AND('Part VII-Pro Forma'!$G$8="Yes",'Part VII-Pro Forma'!$G$9="Yes"),"Choose One!",IF('Part VII-Pro Forma'!$G$8="Yes",ROUND((-$K$8*(1+'Part VII-Pro Forma'!$B$6)^('Part VII-Pro Forma'!C13-1)),),IF('Part VII-Pro Forma'!$G$9="Yes",ROUND((-(SUM(C14:C17)*'Part VII-Pro Forma'!$K$9)),),"Choose mgt fee")))</f>
        <v>-21139</v>
      </c>
      <c r="D20" s="25">
        <f>IF(AND('Part VII-Pro Forma'!$G$8="Yes",'Part VII-Pro Forma'!$G$9="Yes"),"Choose One!",IF('Part VII-Pro Forma'!$G$8="Yes",ROUND((-$K$8*(1+'Part VII-Pro Forma'!$B$6)^('Part VII-Pro Forma'!D13-1)),),IF('Part VII-Pro Forma'!$G$9="Yes",ROUND((-(SUM(D14:D17)*'Part VII-Pro Forma'!$K$9)),),"Choose mgt fee")))</f>
        <v>-21562</v>
      </c>
      <c r="E20" s="25">
        <f>IF(AND('Part VII-Pro Forma'!$G$8="Yes",'Part VII-Pro Forma'!$G$9="Yes"),"Choose One!",IF('Part VII-Pro Forma'!$G$8="Yes",ROUND((-$K$8*(1+'Part VII-Pro Forma'!$B$6)^('Part VII-Pro Forma'!E13-1)),),IF('Part VII-Pro Forma'!$G$9="Yes",ROUND((-(SUM(E14:E17)*'Part VII-Pro Forma'!$K$9)),),"Choose mgt fee")))</f>
        <v>-21993</v>
      </c>
      <c r="F20" s="25">
        <f>IF(AND('Part VII-Pro Forma'!$G$8="Yes",'Part VII-Pro Forma'!$G$9="Yes"),"Choose One!",IF('Part VII-Pro Forma'!$G$8="Yes",ROUND((-$K$8*(1+'Part VII-Pro Forma'!$B$6)^('Part VII-Pro Forma'!F13-1)),),IF('Part VII-Pro Forma'!$G$9="Yes",ROUND((-(SUM(F14:F17)*'Part VII-Pro Forma'!$K$9)),),"Choose mgt fee")))</f>
        <v>-22433</v>
      </c>
      <c r="G20" s="25">
        <f>IF(AND('Part VII-Pro Forma'!$G$8="Yes",'Part VII-Pro Forma'!$G$9="Yes"),"Choose One!",IF('Part VII-Pro Forma'!$G$8="Yes",ROUND((-$K$8*(1+'Part VII-Pro Forma'!$B$6)^('Part VII-Pro Forma'!G13-1)),),IF('Part VII-Pro Forma'!$G$9="Yes",ROUND((-(SUM(G14:G17)*'Part VII-Pro Forma'!$K$9)),),"Choose mgt fee")))</f>
        <v>-22882</v>
      </c>
      <c r="H20" s="25">
        <f>IF(AND('Part VII-Pro Forma'!$G$8="Yes",'Part VII-Pro Forma'!$G$9="Yes"),"Choose One!",IF('Part VII-Pro Forma'!$G$8="Yes",ROUND((-$K$8*(1+'Part VII-Pro Forma'!$B$6)^('Part VII-Pro Forma'!H13-1)),),IF('Part VII-Pro Forma'!$G$9="Yes",ROUND((-(SUM(H14:H17)*'Part VII-Pro Forma'!$K$9)),),"Choose mgt fee")))</f>
        <v>-23339</v>
      </c>
      <c r="I20" s="25">
        <f>IF(AND('Part VII-Pro Forma'!$G$8="Yes",'Part VII-Pro Forma'!$G$9="Yes"),"Choose One!",IF('Part VII-Pro Forma'!$G$8="Yes",ROUND((-$K$8*(1+'Part VII-Pro Forma'!$B$6)^('Part VII-Pro Forma'!I13-1)),),IF('Part VII-Pro Forma'!$G$9="Yes",ROUND((-(SUM(I14:I17)*'Part VII-Pro Forma'!$K$9)),),"Choose mgt fee")))</f>
        <v>-23806</v>
      </c>
      <c r="J20" s="25">
        <f>IF(AND('Part VII-Pro Forma'!$G$8="Yes",'Part VII-Pro Forma'!$G$9="Yes"),"Choose One!",IF('Part VII-Pro Forma'!$G$8="Yes",ROUND((-$K$8*(1+'Part VII-Pro Forma'!$B$6)^('Part VII-Pro Forma'!J13-1)),),IF('Part VII-Pro Forma'!$G$9="Yes",ROUND((-(SUM(J14:J17)*'Part VII-Pro Forma'!$K$9)),),"Choose mgt fee")))</f>
        <v>-24282</v>
      </c>
      <c r="K20" s="25">
        <f>IF(AND('Part VII-Pro Forma'!$G$8="Yes",'Part VII-Pro Forma'!$G$9="Yes"),"Choose One!",IF('Part VII-Pro Forma'!$G$8="Yes",ROUND((-$K$8*(1+'Part VII-Pro Forma'!$B$6)^('Part VII-Pro Forma'!K13-1)),),IF('Part VII-Pro Forma'!$G$9="Yes",ROUND((-(SUM(K14:K17)*'Part VII-Pro Forma'!$K$9)),),"Choose mgt fee")))</f>
        <v>-24768</v>
      </c>
      <c r="M20" s="1462"/>
      <c r="N20" s="1463"/>
    </row>
    <row r="21" spans="1:14" ht="13.15" customHeight="1">
      <c r="A21" s="24" t="s">
        <v>1739</v>
      </c>
      <c r="B21" s="25">
        <f>-('Part VI-Revenues &amp; Expenses'!P160)</f>
        <v>-25200</v>
      </c>
      <c r="C21" s="25">
        <f t="shared" ref="C21:K21" si="5">$B$21*(1+$B$7)^(C13-1)</f>
        <v>-25956</v>
      </c>
      <c r="D21" s="25">
        <f t="shared" si="5"/>
        <v>-26734.68</v>
      </c>
      <c r="E21" s="25">
        <f t="shared" si="5"/>
        <v>-27536.720399999998</v>
      </c>
      <c r="F21" s="25">
        <f t="shared" si="5"/>
        <v>-28362.822011999997</v>
      </c>
      <c r="G21" s="25">
        <f t="shared" si="5"/>
        <v>-29213.706672359996</v>
      </c>
      <c r="H21" s="25">
        <f t="shared" si="5"/>
        <v>-30090.117872530798</v>
      </c>
      <c r="I21" s="25">
        <f t="shared" si="5"/>
        <v>-30992.821408706724</v>
      </c>
      <c r="J21" s="25">
        <f t="shared" si="5"/>
        <v>-31922.606050967923</v>
      </c>
      <c r="K21" s="26">
        <f t="shared" si="5"/>
        <v>-32880.284232496961</v>
      </c>
      <c r="M21" s="1462"/>
      <c r="N21" s="1463"/>
    </row>
    <row r="22" spans="1:14" ht="13.15" customHeight="1">
      <c r="A22" s="24" t="s">
        <v>1740</v>
      </c>
      <c r="B22" s="25">
        <f t="shared" ref="B22:K22" si="6">SUM(B14:B21)</f>
        <v>84455.159999999974</v>
      </c>
      <c r="C22" s="25">
        <f t="shared" si="6"/>
        <v>83742.433199999941</v>
      </c>
      <c r="D22" s="25">
        <f t="shared" si="6"/>
        <v>82942.66196399997</v>
      </c>
      <c r="E22" s="25">
        <f t="shared" si="6"/>
        <v>82053.123306280031</v>
      </c>
      <c r="F22" s="25">
        <f t="shared" si="6"/>
        <v>81068.954918495612</v>
      </c>
      <c r="G22" s="25">
        <f t="shared" si="6"/>
        <v>79986.150437338234</v>
      </c>
      <c r="H22" s="25">
        <f t="shared" si="6"/>
        <v>78801.554559171898</v>
      </c>
      <c r="I22" s="25">
        <f t="shared" si="6"/>
        <v>77508.857996834675</v>
      </c>
      <c r="J22" s="25">
        <f t="shared" si="6"/>
        <v>76104.592273645292</v>
      </c>
      <c r="K22" s="26">
        <f t="shared" si="6"/>
        <v>74583.124349498336</v>
      </c>
      <c r="M22" s="1462"/>
      <c r="N22" s="1463"/>
    </row>
    <row r="23" spans="1:14" ht="13.15" customHeight="1">
      <c r="A23" s="678" t="s">
        <v>2195</v>
      </c>
      <c r="B23" s="1567">
        <f>IF('Part III A-Sources of Funds'!$M$32="", 0,-'Part III A-Sources of Funds'!$M$32)</f>
        <v>0</v>
      </c>
      <c r="C23" s="1567">
        <f>IF('Part III A-Sources of Funds'!$M$32="", 0,-'Part III A-Sources of Funds'!$M$32)</f>
        <v>0</v>
      </c>
      <c r="D23" s="1567">
        <f>IF('Part III A-Sources of Funds'!$M$32="", 0,-'Part III A-Sources of Funds'!$M$32)</f>
        <v>0</v>
      </c>
      <c r="E23" s="1567">
        <f>IF('Part III A-Sources of Funds'!$M$32="", 0,-'Part III A-Sources of Funds'!$M$32)</f>
        <v>0</v>
      </c>
      <c r="F23" s="1567">
        <f>IF('Part III A-Sources of Funds'!$M$32="", 0,-'Part III A-Sources of Funds'!$M$32)</f>
        <v>0</v>
      </c>
      <c r="G23" s="1567">
        <f>IF('Part III A-Sources of Funds'!$M$32="", 0,-'Part III A-Sources of Funds'!$M$32)</f>
        <v>0</v>
      </c>
      <c r="H23" s="1567">
        <f>IF('Part III A-Sources of Funds'!$M$32="", 0,-'Part III A-Sources of Funds'!$M$32)</f>
        <v>0</v>
      </c>
      <c r="I23" s="1567">
        <f>IF('Part III A-Sources of Funds'!$M$32="", 0,-'Part III A-Sources of Funds'!$M$32)</f>
        <v>0</v>
      </c>
      <c r="J23" s="1567">
        <f>IF('Part III A-Sources of Funds'!$M$32="", 0,-'Part III A-Sources of Funds'!$M$32)</f>
        <v>0</v>
      </c>
      <c r="K23" s="1567">
        <f>IF('Part III A-Sources of Funds'!$M$32="", 0,-'Part III A-Sources of Funds'!$M$32)</f>
        <v>0</v>
      </c>
      <c r="M23" s="1462"/>
      <c r="N23" s="1463"/>
    </row>
    <row r="24" spans="1:14" ht="13.15" customHeight="1">
      <c r="A24" s="678" t="s">
        <v>2196</v>
      </c>
      <c r="B24" s="1568">
        <f>IF('Part III A-Sources of Funds'!$M$33="", 0,-'Part III A-Sources of Funds'!$M$33)</f>
        <v>0</v>
      </c>
      <c r="C24" s="1568">
        <f>IF('Part III A-Sources of Funds'!$M$33="", 0,-'Part III A-Sources of Funds'!$M$33)</f>
        <v>0</v>
      </c>
      <c r="D24" s="1568">
        <f>IF('Part III A-Sources of Funds'!$M$33="", 0,-'Part III A-Sources of Funds'!$M$33)</f>
        <v>0</v>
      </c>
      <c r="E24" s="1568">
        <f>IF('Part III A-Sources of Funds'!$M$33="", 0,-'Part III A-Sources of Funds'!$M$33)</f>
        <v>0</v>
      </c>
      <c r="F24" s="1568">
        <f>IF('Part III A-Sources of Funds'!$M$33="", 0,-'Part III A-Sources of Funds'!$M$33)</f>
        <v>0</v>
      </c>
      <c r="G24" s="1568">
        <f>IF('Part III A-Sources of Funds'!$M$33="", 0,-'Part III A-Sources of Funds'!$M$33)</f>
        <v>0</v>
      </c>
      <c r="H24" s="1568">
        <f>IF('Part III A-Sources of Funds'!$M$33="", 0,-'Part III A-Sources of Funds'!$M$33)</f>
        <v>0</v>
      </c>
      <c r="I24" s="1568">
        <f>IF('Part III A-Sources of Funds'!$M$33="", 0,-'Part III A-Sources of Funds'!$M$33)</f>
        <v>0</v>
      </c>
      <c r="J24" s="1568">
        <f>IF('Part III A-Sources of Funds'!$M$33="", 0,-'Part III A-Sources of Funds'!$M$33)</f>
        <v>0</v>
      </c>
      <c r="K24" s="1568">
        <f>IF('Part III A-Sources of Funds'!$M$33="", 0,-'Part III A-Sources of Funds'!$M$33)</f>
        <v>0</v>
      </c>
      <c r="M24" s="1462"/>
      <c r="N24" s="1463"/>
    </row>
    <row r="25" spans="1:14" ht="13.15" customHeight="1">
      <c r="A25" s="678" t="s">
        <v>2197</v>
      </c>
      <c r="B25" s="1568">
        <f>IF('Part III A-Sources of Funds'!$M$34="", 0,-'Part III A-Sources of Funds'!$M$34)</f>
        <v>0</v>
      </c>
      <c r="C25" s="1568">
        <f>IF('Part III A-Sources of Funds'!$M$34="", 0,-'Part III A-Sources of Funds'!$M$34)</f>
        <v>0</v>
      </c>
      <c r="D25" s="1568">
        <f>IF('Part III A-Sources of Funds'!$M$34="", 0,-'Part III A-Sources of Funds'!$M$34)</f>
        <v>0</v>
      </c>
      <c r="E25" s="1568">
        <f>IF('Part III A-Sources of Funds'!$M$34="", 0,-'Part III A-Sources of Funds'!$M$34)</f>
        <v>0</v>
      </c>
      <c r="F25" s="1568">
        <f>IF('Part III A-Sources of Funds'!$M$34="", 0,-'Part III A-Sources of Funds'!$M$34)</f>
        <v>0</v>
      </c>
      <c r="G25" s="1568">
        <f>IF('Part III A-Sources of Funds'!$M$34="", 0,-'Part III A-Sources of Funds'!$M$34)</f>
        <v>0</v>
      </c>
      <c r="H25" s="1568">
        <f>IF('Part III A-Sources of Funds'!$M$34="", 0,-'Part III A-Sources of Funds'!$M$34)</f>
        <v>0</v>
      </c>
      <c r="I25" s="1568">
        <f>IF('Part III A-Sources of Funds'!$M$34="", 0,-'Part III A-Sources of Funds'!$M$34)</f>
        <v>0</v>
      </c>
      <c r="J25" s="1568">
        <f>IF('Part III A-Sources of Funds'!$M$34="", 0,-'Part III A-Sources of Funds'!$M$34)</f>
        <v>0</v>
      </c>
      <c r="K25" s="1568">
        <f>IF('Part III A-Sources of Funds'!$M$34="", 0,-'Part III A-Sources of Funds'!$M$34)</f>
        <v>0</v>
      </c>
      <c r="M25" s="1462"/>
      <c r="N25" s="1463"/>
    </row>
    <row r="26" spans="1:14" ht="13.15" customHeight="1">
      <c r="A26" s="24" t="s">
        <v>1266</v>
      </c>
      <c r="B26" s="1568">
        <f>IF('Part III A-Sources of Funds'!$M$35="", 0,-'Part III A-Sources of Funds'!$M$35)</f>
        <v>0</v>
      </c>
      <c r="C26" s="1568">
        <f>IF('Part III A-Sources of Funds'!$M$35="", 0,-'Part III A-Sources of Funds'!$M$35)</f>
        <v>0</v>
      </c>
      <c r="D26" s="1568">
        <f>IF('Part III A-Sources of Funds'!$M$35="", 0,-'Part III A-Sources of Funds'!$M$35)</f>
        <v>0</v>
      </c>
      <c r="E26" s="1568">
        <f>IF('Part III A-Sources of Funds'!$M$35="", 0,-'Part III A-Sources of Funds'!$M$35)</f>
        <v>0</v>
      </c>
      <c r="F26" s="1568">
        <f>IF('Part III A-Sources of Funds'!$M$35="", 0,-'Part III A-Sources of Funds'!$M$35)</f>
        <v>0</v>
      </c>
      <c r="G26" s="1568">
        <f>IF('Part III A-Sources of Funds'!$M$35="", 0,-'Part III A-Sources of Funds'!$M$35)</f>
        <v>0</v>
      </c>
      <c r="H26" s="1568">
        <f>IF('Part III A-Sources of Funds'!$M$35="", 0,-'Part III A-Sources of Funds'!$M$35)</f>
        <v>0</v>
      </c>
      <c r="I26" s="1568">
        <f>IF('Part III A-Sources of Funds'!$M$35="", 0,-'Part III A-Sources of Funds'!$M$35)</f>
        <v>0</v>
      </c>
      <c r="J26" s="1568">
        <f>IF('Part III A-Sources of Funds'!$M$35="", 0,-'Part III A-Sources of Funds'!$M$35)</f>
        <v>0</v>
      </c>
      <c r="K26" s="1568">
        <f>IF('Part III A-Sources of Funds'!$M$35="", 0,-'Part III A-Sources of Funds'!$M$35)</f>
        <v>0</v>
      </c>
      <c r="M26" s="1462"/>
      <c r="N26" s="1463"/>
    </row>
    <row r="27" spans="1:14" ht="13.15" customHeight="1">
      <c r="A27" s="24" t="s">
        <v>1241</v>
      </c>
      <c r="B27" s="1569"/>
      <c r="C27" s="1569"/>
      <c r="D27" s="1569"/>
      <c r="E27" s="1569"/>
      <c r="F27" s="1569"/>
      <c r="G27" s="1569"/>
      <c r="H27" s="1569"/>
      <c r="I27" s="1569"/>
      <c r="J27" s="1569"/>
      <c r="K27" s="1569"/>
      <c r="M27" s="1462"/>
      <c r="N27" s="1463"/>
    </row>
    <row r="28" spans="1:14" ht="13.15" customHeight="1">
      <c r="A28" s="24" t="s">
        <v>1686</v>
      </c>
      <c r="B28" s="1568">
        <f>-$G$5</f>
        <v>-5000</v>
      </c>
      <c r="C28" s="1568">
        <f>B28*1.03</f>
        <v>-5150</v>
      </c>
      <c r="D28" s="1568">
        <f t="shared" ref="D28:K28" si="7">C28*1.03</f>
        <v>-5304.5</v>
      </c>
      <c r="E28" s="1568">
        <f t="shared" si="7"/>
        <v>-5463.6350000000002</v>
      </c>
      <c r="F28" s="1568">
        <f t="shared" si="7"/>
        <v>-5627.5440500000004</v>
      </c>
      <c r="G28" s="1568">
        <f t="shared" si="7"/>
        <v>-5796.3703715000001</v>
      </c>
      <c r="H28" s="1568">
        <f t="shared" si="7"/>
        <v>-5970.2614826449999</v>
      </c>
      <c r="I28" s="1568">
        <f t="shared" si="7"/>
        <v>-6149.3693271243501</v>
      </c>
      <c r="J28" s="1568">
        <f t="shared" si="7"/>
        <v>-6333.8504069380806</v>
      </c>
      <c r="K28" s="1568">
        <f t="shared" si="7"/>
        <v>-6523.865919146223</v>
      </c>
      <c r="M28" s="1462"/>
      <c r="N28" s="1463"/>
    </row>
    <row r="29" spans="1:14" ht="13.15" customHeight="1">
      <c r="A29" s="24" t="s">
        <v>1741</v>
      </c>
      <c r="B29" s="1570">
        <v>-79455</v>
      </c>
      <c r="C29" s="1570">
        <v>-78592</v>
      </c>
      <c r="D29" s="1570">
        <v>-77638</v>
      </c>
      <c r="E29" s="1570">
        <v>-76589</v>
      </c>
      <c r="F29" s="1570">
        <v>-75441</v>
      </c>
      <c r="G29" s="1570">
        <v>-23042</v>
      </c>
      <c r="H29" s="1570">
        <f>IF('Part III A-Sources of Funds'!$M$37="", 0,-'Part III A-Sources of Funds'!$M$37)</f>
        <v>0</v>
      </c>
      <c r="I29" s="1570">
        <f>IF('Part III A-Sources of Funds'!$M$37="", 0,-'Part III A-Sources of Funds'!$M$37)</f>
        <v>0</v>
      </c>
      <c r="J29" s="1570">
        <f>IF('Part III A-Sources of Funds'!$M$37="", 0,-'Part III A-Sources of Funds'!$M$37)</f>
        <v>0</v>
      </c>
      <c r="K29" s="1570">
        <f>IF('Part III A-Sources of Funds'!$M$37="", 0,-'Part III A-Sources of Funds'!$M$37)</f>
        <v>0</v>
      </c>
      <c r="M29" s="1462"/>
      <c r="N29" s="1463"/>
    </row>
    <row r="30" spans="1:14" ht="13.15" customHeight="1">
      <c r="A30" s="24" t="s">
        <v>1687</v>
      </c>
      <c r="B30" s="25">
        <f t="shared" ref="B30:K30" si="8">SUM(B22:B29)</f>
        <v>0.15999999997438863</v>
      </c>
      <c r="C30" s="25">
        <f t="shared" si="8"/>
        <v>0.43319999994128011</v>
      </c>
      <c r="D30" s="25">
        <f t="shared" si="8"/>
        <v>0.16196399996988475</v>
      </c>
      <c r="E30" s="25">
        <f t="shared" si="8"/>
        <v>0.48830628003634047</v>
      </c>
      <c r="F30" s="25">
        <f t="shared" si="8"/>
        <v>0.41086849561543204</v>
      </c>
      <c r="G30" s="25">
        <f t="shared" si="8"/>
        <v>51147.780065838233</v>
      </c>
      <c r="H30" s="25">
        <f t="shared" si="8"/>
        <v>72831.293076526897</v>
      </c>
      <c r="I30" s="25">
        <f t="shared" si="8"/>
        <v>71359.488669710321</v>
      </c>
      <c r="J30" s="25">
        <f t="shared" si="8"/>
        <v>69770.741866707205</v>
      </c>
      <c r="K30" s="26">
        <f t="shared" si="8"/>
        <v>68059.258430352114</v>
      </c>
      <c r="M30" s="1462"/>
      <c r="N30" s="1463"/>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1.3236350677120454</v>
      </c>
      <c r="C35" s="378">
        <f t="shared" ref="C35:K35" si="13">IF(OR(C20="Choose mgt fee",C20="Choose One!"),"",(C14+C15+C16+C17+C18) / -(C19+C20+C21))</f>
        <v>1.3117981536828327</v>
      </c>
      <c r="D35" s="378">
        <f t="shared" si="13"/>
        <v>1.3000546442747001</v>
      </c>
      <c r="E35" s="378">
        <f t="shared" si="13"/>
        <v>1.2884095671689431</v>
      </c>
      <c r="F35" s="378">
        <f t="shared" si="13"/>
        <v>1.2768584331383204</v>
      </c>
      <c r="G35" s="378">
        <f t="shared" si="13"/>
        <v>1.2654015222704826</v>
      </c>
      <c r="H35" s="378">
        <f t="shared" si="13"/>
        <v>1.2540430515808145</v>
      </c>
      <c r="I35" s="378">
        <f t="shared" si="13"/>
        <v>1.2427748620311214</v>
      </c>
      <c r="J35" s="378">
        <f t="shared" si="13"/>
        <v>1.2316011394004733</v>
      </c>
      <c r="K35" s="379">
        <f t="shared" si="13"/>
        <v>1.2205181799593134</v>
      </c>
      <c r="M35" s="1462"/>
      <c r="N35" s="1463"/>
    </row>
    <row r="36" spans="1:14" ht="13.15" customHeight="1">
      <c r="A36" s="678" t="s">
        <v>3665</v>
      </c>
      <c r="B36" s="1571" t="str">
        <f>IF('Part III A-Sources of Funds'!$H$32="","",-FV('Part III A-Sources of Funds'!$J$32/12,12,B23/12,'Part III A-Sources of Funds'!$H$32))</f>
        <v/>
      </c>
      <c r="C36" s="1571" t="str">
        <f>IF('Part III A-Sources of Funds'!$H$32="","",-FV('Part III A-Sources of Funds'!$J$32/12,12,C23/12,B36))</f>
        <v/>
      </c>
      <c r="D36" s="1571" t="str">
        <f>IF('Part III A-Sources of Funds'!$H$32="","",-FV('Part III A-Sources of Funds'!$J$32/12,12,D23/12,C36))</f>
        <v/>
      </c>
      <c r="E36" s="1571" t="str">
        <f>IF('Part III A-Sources of Funds'!$H$32="","",-FV('Part III A-Sources of Funds'!$J$32/12,12,E23/12,D36))</f>
        <v/>
      </c>
      <c r="F36" s="1571" t="str">
        <f>IF('Part III A-Sources of Funds'!$H$32="","",-FV('Part III A-Sources of Funds'!$J$32/12,12,F23/12,E36))</f>
        <v/>
      </c>
      <c r="G36" s="1571" t="str">
        <f>IF('Part III A-Sources of Funds'!$H$32="","",-FV('Part III A-Sources of Funds'!$J$32/12,12,G23/12,F36))</f>
        <v/>
      </c>
      <c r="H36" s="1571" t="str">
        <f>IF('Part III A-Sources of Funds'!$H$32="","",-FV('Part III A-Sources of Funds'!$J$32/12,12,H23/12,G36))</f>
        <v/>
      </c>
      <c r="I36" s="1571" t="str">
        <f>IF('Part III A-Sources of Funds'!$H$32="","",-FV('Part III A-Sources of Funds'!$J$32/12,12,I23/12,H36))</f>
        <v/>
      </c>
      <c r="J36" s="1571" t="str">
        <f>IF('Part III A-Sources of Funds'!$H$32="","",-FV('Part III A-Sources of Funds'!$J$32/12,12,J23/12,I36))</f>
        <v/>
      </c>
      <c r="K36" s="1571" t="str">
        <f>IF('Part III A-Sources of Funds'!$H$32="","",-FV('Part III A-Sources of Funds'!$J$32/12,12,K23/12,J36))</f>
        <v/>
      </c>
      <c r="M36" s="1462"/>
      <c r="N36" s="1463"/>
    </row>
    <row r="37" spans="1:14" ht="13.15" customHeight="1">
      <c r="A37" s="678" t="s">
        <v>3666</v>
      </c>
      <c r="B37" s="1568" t="str">
        <f>IF('Part III A-Sources of Funds'!$H$33="","",-FV('Part III A-Sources of Funds'!$J$33/12,12,B24/12,'Part III A-Sources of Funds'!$H$33))</f>
        <v/>
      </c>
      <c r="C37" s="1568" t="str">
        <f>IF('Part III A-Sources of Funds'!$H$33="","",-FV('Part III A-Sources of Funds'!$J$33/12,12,C24/12,B37))</f>
        <v/>
      </c>
      <c r="D37" s="1568" t="str">
        <f>IF('Part III A-Sources of Funds'!$H$33="","",-FV('Part III A-Sources of Funds'!$J$33/12,12,D24/12,C37))</f>
        <v/>
      </c>
      <c r="E37" s="1568" t="str">
        <f>IF('Part III A-Sources of Funds'!$H$33="","",-FV('Part III A-Sources of Funds'!$J$33/12,12,E24/12,D37))</f>
        <v/>
      </c>
      <c r="F37" s="1568" t="str">
        <f>IF('Part III A-Sources of Funds'!$H$33="","",-FV('Part III A-Sources of Funds'!$J$33/12,12,F24/12,E37))</f>
        <v/>
      </c>
      <c r="G37" s="1568" t="str">
        <f>IF('Part III A-Sources of Funds'!$H$33="","",-FV('Part III A-Sources of Funds'!$J$33/12,12,G24/12,F37))</f>
        <v/>
      </c>
      <c r="H37" s="1568" t="str">
        <f>IF('Part III A-Sources of Funds'!$H$33="","",-FV('Part III A-Sources of Funds'!$J$33/12,12,H24/12,G37))</f>
        <v/>
      </c>
      <c r="I37" s="1568" t="str">
        <f>IF('Part III A-Sources of Funds'!$H$33="","",-FV('Part III A-Sources of Funds'!$J$33/12,12,I24/12,H37))</f>
        <v/>
      </c>
      <c r="J37" s="1568" t="str">
        <f>IF('Part III A-Sources of Funds'!$H$33="","",-FV('Part III A-Sources of Funds'!$J$33/12,12,J24/12,I37))</f>
        <v/>
      </c>
      <c r="K37" s="1568" t="str">
        <f>IF('Part III A-Sources of Funds'!$H$33="","",-FV('Part III A-Sources of Funds'!$J$33/12,12,K24/12,J37))</f>
        <v/>
      </c>
      <c r="M37" s="1462"/>
      <c r="N37" s="1463"/>
    </row>
    <row r="38" spans="1:14" ht="13.15" customHeight="1">
      <c r="A38" s="678" t="s">
        <v>3667</v>
      </c>
      <c r="B38" s="1568" t="str">
        <f>IF('Part III A-Sources of Funds'!$H$34="","",-FV('Part III A-Sources of Funds'!$J$34/12,12,B25/12,'Part III A-Sources of Funds'!$H$34))</f>
        <v/>
      </c>
      <c r="C38" s="1568" t="str">
        <f>IF('Part III A-Sources of Funds'!$H$34="","",-FV('Part III A-Sources of Funds'!$J$34/12,12,C25/12,B38))</f>
        <v/>
      </c>
      <c r="D38" s="1568" t="str">
        <f>IF('Part III A-Sources of Funds'!$H$34="","",-FV('Part III A-Sources of Funds'!$J$34/12,12,D25/12,C38))</f>
        <v/>
      </c>
      <c r="E38" s="1568" t="str">
        <f>IF('Part III A-Sources of Funds'!$H$34="","",-FV('Part III A-Sources of Funds'!$J$34/12,12,E25/12,D38))</f>
        <v/>
      </c>
      <c r="F38" s="1568" t="str">
        <f>IF('Part III A-Sources of Funds'!$H$34="","",-FV('Part III A-Sources of Funds'!$J$34/12,12,F25/12,E38))</f>
        <v/>
      </c>
      <c r="G38" s="1568" t="str">
        <f>IF('Part III A-Sources of Funds'!$H$34="","",-FV('Part III A-Sources of Funds'!$J$34/12,12,G25/12,F38))</f>
        <v/>
      </c>
      <c r="H38" s="1568" t="str">
        <f>IF('Part III A-Sources of Funds'!$H$34="","",-FV('Part III A-Sources of Funds'!$J$34/12,12,H25/12,G38))</f>
        <v/>
      </c>
      <c r="I38" s="1568" t="str">
        <f>IF('Part III A-Sources of Funds'!$H$34="","",-FV('Part III A-Sources of Funds'!$J$34/12,12,I25/12,H38))</f>
        <v/>
      </c>
      <c r="J38" s="1568" t="str">
        <f>IF('Part III A-Sources of Funds'!$H$34="","",-FV('Part III A-Sources of Funds'!$J$34/12,12,J25/12,I38))</f>
        <v/>
      </c>
      <c r="K38" s="1568" t="str">
        <f>IF('Part III A-Sources of Funds'!$H$34="","",-FV('Part III A-Sources of Funds'!$J$34/12,12,K25/12,J38))</f>
        <v/>
      </c>
      <c r="M38" s="1462"/>
      <c r="N38" s="1463"/>
    </row>
    <row r="39" spans="1:14" ht="13.15" customHeight="1">
      <c r="A39" s="24" t="s">
        <v>1268</v>
      </c>
      <c r="B39" s="1568" t="str">
        <f>IF('Part III A-Sources of Funds'!$H$35="","",-FV('Part III A-Sources of Funds'!$J$35/12,12,B24/12,'Part III A-Sources of Funds'!$H$35))</f>
        <v/>
      </c>
      <c r="C39" s="1568" t="str">
        <f>IF('Part III A-Sources of Funds'!$H$35="","",-FV('Part III A-Sources of Funds'!$J$35/12,12,C26/12,B39))</f>
        <v/>
      </c>
      <c r="D39" s="1568" t="str">
        <f>IF('Part III A-Sources of Funds'!$H$35="","",-FV('Part III A-Sources of Funds'!$J$35/12,12,D26/12,C39))</f>
        <v/>
      </c>
      <c r="E39" s="1568" t="str">
        <f>IF('Part III A-Sources of Funds'!$H$35="","",-FV('Part III A-Sources of Funds'!$J$35/12,12,E26/12,D39))</f>
        <v/>
      </c>
      <c r="F39" s="1568" t="str">
        <f>IF('Part III A-Sources of Funds'!$H$35="","",-FV('Part III A-Sources of Funds'!$J$35/12,12,F26/12,E39))</f>
        <v/>
      </c>
      <c r="G39" s="1568" t="str">
        <f>IF('Part III A-Sources of Funds'!$H$35="","",-FV('Part III A-Sources of Funds'!$J$35/12,12,G26/12,F39))</f>
        <v/>
      </c>
      <c r="H39" s="1568" t="str">
        <f>IF('Part III A-Sources of Funds'!$H$35="","",-FV('Part III A-Sources of Funds'!$J$35/12,12,H26/12,G39))</f>
        <v/>
      </c>
      <c r="I39" s="1568" t="str">
        <f>IF('Part III A-Sources of Funds'!$H$35="","",-FV('Part III A-Sources of Funds'!$J$35/12,12,I26/12,H39))</f>
        <v/>
      </c>
      <c r="J39" s="1568" t="str">
        <f>IF('Part III A-Sources of Funds'!$H$35="","",-FV('Part III A-Sources of Funds'!$J$35/12,12,J26/12,I39))</f>
        <v/>
      </c>
      <c r="K39" s="1568" t="str">
        <f>IF('Part III A-Sources of Funds'!$H$35="","",-FV('Part III A-Sources of Funds'!$J$35/12,12,K26/12,J39))</f>
        <v/>
      </c>
      <c r="M39" s="1462"/>
      <c r="N39" s="1463"/>
    </row>
    <row r="40" spans="1:14" ht="13.15" customHeight="1">
      <c r="A40" s="678" t="s">
        <v>3668</v>
      </c>
      <c r="B40" s="1568">
        <f>'Part III A-Sources of Funds'!$H$36</f>
        <v>0</v>
      </c>
      <c r="C40" s="1568">
        <f>B40</f>
        <v>0</v>
      </c>
      <c r="D40" s="1568">
        <f t="shared" ref="D40:K40" si="14">C40</f>
        <v>0</v>
      </c>
      <c r="E40" s="1568">
        <f t="shared" si="14"/>
        <v>0</v>
      </c>
      <c r="F40" s="1568">
        <f t="shared" si="14"/>
        <v>0</v>
      </c>
      <c r="G40" s="1568">
        <f t="shared" si="14"/>
        <v>0</v>
      </c>
      <c r="H40" s="1568">
        <f t="shared" si="14"/>
        <v>0</v>
      </c>
      <c r="I40" s="1568">
        <f t="shared" si="14"/>
        <v>0</v>
      </c>
      <c r="J40" s="1568">
        <f t="shared" si="14"/>
        <v>0</v>
      </c>
      <c r="K40" s="1568">
        <f t="shared" si="14"/>
        <v>0</v>
      </c>
      <c r="M40" s="1462"/>
      <c r="N40" s="1463"/>
    </row>
    <row r="41" spans="1:14" ht="13.15" customHeight="1">
      <c r="A41" s="29" t="s">
        <v>1776</v>
      </c>
      <c r="B41" s="1570">
        <f>IF('Part III A-Sources of Funds'!$H$37="","",-FV('Part III A-Sources of Funds'!$J$37/12,12,B29/12,'Part III A-Sources of Funds'!$H$37))</f>
        <v>331302</v>
      </c>
      <c r="C41" s="1570">
        <f>IF('Part III A-Sources of Funds'!$H$37="","",-FV('Part III A-Sources of Funds'!$J$37/12,12,C29/12,B41))</f>
        <v>252710</v>
      </c>
      <c r="D41" s="1570">
        <f>IF('Part III A-Sources of Funds'!$H$37="","",-FV('Part III A-Sources of Funds'!$J$37/12,12,D29/12,C41))</f>
        <v>175072</v>
      </c>
      <c r="E41" s="1570">
        <f>IF('Part III A-Sources of Funds'!$H$37="","",-FV('Part III A-Sources of Funds'!$J$37/12,12,E29/12,D41))</f>
        <v>98483</v>
      </c>
      <c r="F41" s="1570">
        <f>IF('Part III A-Sources of Funds'!$H$37="","",-FV('Part III A-Sources of Funds'!$J$37/12,12,F29/12,E41))</f>
        <v>23042</v>
      </c>
      <c r="G41" s="1570">
        <f>IF('Part III A-Sources of Funds'!$H$37="","",-FV('Part III A-Sources of Funds'!$J$37/12,12,G29/12,F41))</f>
        <v>0</v>
      </c>
      <c r="H41" s="1570">
        <f>IF('Part III A-Sources of Funds'!$H$37="","",-FV('Part III A-Sources of Funds'!$J$37/12,12,H29/12,G41))</f>
        <v>0</v>
      </c>
      <c r="I41" s="1570">
        <f>IF('Part III A-Sources of Funds'!$H$37="","",-FV('Part III A-Sources of Funds'!$J$37/12,12,I29/12,H41))</f>
        <v>0</v>
      </c>
      <c r="J41" s="1570">
        <f>IF('Part III A-Sources of Funds'!$H$37="","",-FV('Part III A-Sources of Funds'!$J$37/12,12,J29/12,I41))</f>
        <v>0</v>
      </c>
      <c r="K41" s="1570">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3484</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3671</v>
      </c>
      <c r="N43" s="954"/>
    </row>
    <row r="44" spans="1:14" ht="13.15" customHeight="1">
      <c r="A44" s="21" t="s">
        <v>3383</v>
      </c>
      <c r="B44" s="22">
        <f t="shared" ref="B44:K44" si="16">$B$14*(1+$B$5)^(B43-1)</f>
        <v>443972.39569513046</v>
      </c>
      <c r="C44" s="22">
        <f t="shared" si="16"/>
        <v>452851.84360903298</v>
      </c>
      <c r="D44" s="22">
        <f t="shared" si="16"/>
        <v>461908.88048121374</v>
      </c>
      <c r="E44" s="22">
        <f t="shared" si="16"/>
        <v>471147.05809083796</v>
      </c>
      <c r="F44" s="22">
        <f t="shared" si="16"/>
        <v>480569.99925265479</v>
      </c>
      <c r="G44" s="22">
        <f t="shared" si="16"/>
        <v>490181.39923770772</v>
      </c>
      <c r="H44" s="22">
        <f t="shared" si="16"/>
        <v>499985.027222462</v>
      </c>
      <c r="I44" s="22">
        <f t="shared" si="16"/>
        <v>509984.72776691127</v>
      </c>
      <c r="J44" s="22">
        <f t="shared" si="16"/>
        <v>520184.42232224945</v>
      </c>
      <c r="K44" s="23">
        <f t="shared" si="16"/>
        <v>530588.11076869443</v>
      </c>
      <c r="M44" s="1460"/>
      <c r="N44" s="1461"/>
    </row>
    <row r="45" spans="1:14" ht="13.15" customHeight="1">
      <c r="A45" s="24" t="s">
        <v>1519</v>
      </c>
      <c r="B45" s="25">
        <f t="shared" ref="B45:K45" si="17">$B$15*(1+$B$5)^(B43-1)</f>
        <v>8776.7598239622512</v>
      </c>
      <c r="C45" s="25">
        <f t="shared" si="17"/>
        <v>8952.2950204414938</v>
      </c>
      <c r="D45" s="25">
        <f t="shared" si="17"/>
        <v>9131.3409208503253</v>
      </c>
      <c r="E45" s="25">
        <f t="shared" si="17"/>
        <v>9313.9677392673311</v>
      </c>
      <c r="F45" s="25">
        <f t="shared" si="17"/>
        <v>9500.24709405268</v>
      </c>
      <c r="G45" s="25">
        <f t="shared" si="17"/>
        <v>9690.2520359337304</v>
      </c>
      <c r="H45" s="25">
        <f t="shared" si="17"/>
        <v>9884.057076652407</v>
      </c>
      <c r="I45" s="25">
        <f t="shared" si="17"/>
        <v>10081.738218185455</v>
      </c>
      <c r="J45" s="25">
        <f t="shared" si="17"/>
        <v>10283.372982549163</v>
      </c>
      <c r="K45" s="26">
        <f t="shared" si="17"/>
        <v>10489.040442200147</v>
      </c>
      <c r="M45" s="1462"/>
      <c r="N45" s="1463"/>
    </row>
    <row r="46" spans="1:14" ht="13.15" customHeight="1">
      <c r="A46" s="24" t="s">
        <v>3384</v>
      </c>
      <c r="B46" s="25">
        <f t="shared" ref="B46:K46" si="18">-(B44+B45)*$B$8</f>
        <v>-31692.440886336492</v>
      </c>
      <c r="C46" s="25">
        <f t="shared" si="18"/>
        <v>-32326.289704063212</v>
      </c>
      <c r="D46" s="25">
        <f t="shared" si="18"/>
        <v>-32972.81549814449</v>
      </c>
      <c r="E46" s="25">
        <f t="shared" si="18"/>
        <v>-33632.271808107376</v>
      </c>
      <c r="F46" s="25">
        <f t="shared" si="18"/>
        <v>-34304.917244269527</v>
      </c>
      <c r="G46" s="25">
        <f t="shared" si="18"/>
        <v>-34991.015589154908</v>
      </c>
      <c r="H46" s="25">
        <f t="shared" si="18"/>
        <v>-35690.835900938015</v>
      </c>
      <c r="I46" s="25">
        <f t="shared" si="18"/>
        <v>-36404.652618956774</v>
      </c>
      <c r="J46" s="25">
        <f t="shared" si="18"/>
        <v>-37132.745671335906</v>
      </c>
      <c r="K46" s="26">
        <f t="shared" si="18"/>
        <v>-37875.400584762625</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-288986.37079950451</v>
      </c>
      <c r="C49" s="25">
        <f t="shared" si="19"/>
        <v>-297655.9619234897</v>
      </c>
      <c r="D49" s="25">
        <f t="shared" si="19"/>
        <v>-306585.64078119432</v>
      </c>
      <c r="E49" s="25">
        <f t="shared" si="19"/>
        <v>-315783.21000463015</v>
      </c>
      <c r="F49" s="25">
        <f t="shared" si="19"/>
        <v>-325256.70630476909</v>
      </c>
      <c r="G49" s="25">
        <f t="shared" si="19"/>
        <v>-335014.40749391215</v>
      </c>
      <c r="H49" s="25">
        <f t="shared" si="19"/>
        <v>-345064.83971872949</v>
      </c>
      <c r="I49" s="25">
        <f t="shared" si="19"/>
        <v>-355416.78491029138</v>
      </c>
      <c r="J49" s="25">
        <f t="shared" si="19"/>
        <v>-366079.28845760011</v>
      </c>
      <c r="K49" s="26">
        <f t="shared" si="19"/>
        <v>-377061.6671113281</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-25263</v>
      </c>
      <c r="C50" s="25">
        <f>IF(AND('Part VII-Pro Forma'!$G$8="Yes",'Part VII-Pro Forma'!$G$9="Yes"),"Choose One!",IF('Part VII-Pro Forma'!$G$8="Yes",ROUND((-$K$8*(1+'Part VII-Pro Forma'!$B$6)^('Part VII-Pro Forma'!C43-1)),),IF('Part VII-Pro Forma'!$G$9="Yes",ROUND((-(SUM(C44:C47)*'Part VII-Pro Forma'!$K$9)),),"Choose mgt fee")))</f>
        <v>-25769</v>
      </c>
      <c r="D50" s="25">
        <f>IF(AND('Part VII-Pro Forma'!$G$8="Yes",'Part VII-Pro Forma'!$G$9="Yes"),"Choose One!",IF('Part VII-Pro Forma'!$G$8="Yes",ROUND((-$K$8*(1+'Part VII-Pro Forma'!$B$6)^('Part VII-Pro Forma'!D43-1)),),IF('Part VII-Pro Forma'!$G$9="Yes",ROUND((-(SUM(D44:D47)*'Part VII-Pro Forma'!$K$9)),),"Choose mgt fee")))</f>
        <v>-26284</v>
      </c>
      <c r="E50" s="25">
        <f>IF(AND('Part VII-Pro Forma'!$G$8="Yes",'Part VII-Pro Forma'!$G$9="Yes"),"Choose One!",IF('Part VII-Pro Forma'!$G$8="Yes",ROUND((-$K$8*(1+'Part VII-Pro Forma'!$B$6)^('Part VII-Pro Forma'!E43-1)),),IF('Part VII-Pro Forma'!$G$9="Yes",ROUND((-(SUM(E44:E47)*'Part VII-Pro Forma'!$K$9)),),"Choose mgt fee")))</f>
        <v>-26810</v>
      </c>
      <c r="F50" s="25">
        <f>IF(AND('Part VII-Pro Forma'!$G$8="Yes",'Part VII-Pro Forma'!$G$9="Yes"),"Choose One!",IF('Part VII-Pro Forma'!$G$8="Yes",ROUND((-$K$8*(1+'Part VII-Pro Forma'!$B$6)^('Part VII-Pro Forma'!F43-1)),),IF('Part VII-Pro Forma'!$G$9="Yes",ROUND((-(SUM(F44:F47)*'Part VII-Pro Forma'!$K$9)),),"Choose mgt fee")))</f>
        <v>-27346</v>
      </c>
      <c r="G50" s="25">
        <f>IF(AND('Part VII-Pro Forma'!$G$8="Yes",'Part VII-Pro Forma'!$G$9="Yes"),"Choose One!",IF('Part VII-Pro Forma'!$G$8="Yes",ROUND((-$K$8*(1+'Part VII-Pro Forma'!$B$6)^('Part VII-Pro Forma'!G43-1)),),IF('Part VII-Pro Forma'!$G$9="Yes",ROUND((-(SUM(G44:G47)*'Part VII-Pro Forma'!$K$9)),),"Choose mgt fee")))</f>
        <v>-27893</v>
      </c>
      <c r="H50" s="25">
        <f>IF(AND('Part VII-Pro Forma'!$G$8="Yes",'Part VII-Pro Forma'!$G$9="Yes"),"Choose One!",IF('Part VII-Pro Forma'!$G$8="Yes",ROUND((-$K$8*(1+'Part VII-Pro Forma'!$B$6)^('Part VII-Pro Forma'!H43-1)),),IF('Part VII-Pro Forma'!$G$9="Yes",ROUND((-(SUM(H44:H47)*'Part VII-Pro Forma'!$K$9)),),"Choose mgt fee")))</f>
        <v>-28451</v>
      </c>
      <c r="I50" s="25">
        <f>IF(AND('Part VII-Pro Forma'!$G$8="Yes",'Part VII-Pro Forma'!$G$9="Yes"),"Choose One!",IF('Part VII-Pro Forma'!$G$8="Yes",ROUND((-$K$8*(1+'Part VII-Pro Forma'!$B$6)^('Part VII-Pro Forma'!I43-1)),),IF('Part VII-Pro Forma'!$G$9="Yes",ROUND((-(SUM(I44:I47)*'Part VII-Pro Forma'!$K$9)),),"Choose mgt fee")))</f>
        <v>-29020</v>
      </c>
      <c r="J50" s="25">
        <f>IF(AND('Part VII-Pro Forma'!$G$8="Yes",'Part VII-Pro Forma'!$G$9="Yes"),"Choose One!",IF('Part VII-Pro Forma'!$G$8="Yes",ROUND((-$K$8*(1+'Part VII-Pro Forma'!$B$6)^('Part VII-Pro Forma'!J43-1)),),IF('Part VII-Pro Forma'!$G$9="Yes",ROUND((-(SUM(J44:J47)*'Part VII-Pro Forma'!$K$9)),),"Choose mgt fee")))</f>
        <v>-29600</v>
      </c>
      <c r="K50" s="25">
        <f>IF(AND('Part VII-Pro Forma'!$G$8="Yes",'Part VII-Pro Forma'!$G$9="Yes"),"Choose One!",IF('Part VII-Pro Forma'!$G$8="Yes",ROUND((-$K$8*(1+'Part VII-Pro Forma'!$B$6)^('Part VII-Pro Forma'!K43-1)),),IF('Part VII-Pro Forma'!$G$9="Yes",ROUND((-(SUM(K44:K47)*'Part VII-Pro Forma'!$K$9)),),"Choose mgt fee")))</f>
        <v>-30192</v>
      </c>
      <c r="M50" s="1462"/>
      <c r="N50" s="1463"/>
    </row>
    <row r="51" spans="1:14" ht="13.15" customHeight="1">
      <c r="A51" s="24" t="s">
        <v>1739</v>
      </c>
      <c r="B51" s="25">
        <f t="shared" ref="B51:K51" si="20">$B$21*(1+$B$7)^(B43-1)</f>
        <v>-33866.692759471865</v>
      </c>
      <c r="C51" s="25">
        <f t="shared" si="20"/>
        <v>-34882.693542256027</v>
      </c>
      <c r="D51" s="25">
        <f t="shared" si="20"/>
        <v>-35929.174348523702</v>
      </c>
      <c r="E51" s="25">
        <f t="shared" si="20"/>
        <v>-37007.049578979408</v>
      </c>
      <c r="F51" s="25">
        <f t="shared" si="20"/>
        <v>-38117.261066348794</v>
      </c>
      <c r="G51" s="25">
        <f t="shared" si="20"/>
        <v>-39260.77889833926</v>
      </c>
      <c r="H51" s="25">
        <f t="shared" si="20"/>
        <v>-40438.602265289432</v>
      </c>
      <c r="I51" s="25">
        <f t="shared" si="20"/>
        <v>-41651.760333248116</v>
      </c>
      <c r="J51" s="25">
        <f t="shared" si="20"/>
        <v>-42901.313143245563</v>
      </c>
      <c r="K51" s="26">
        <f t="shared" si="20"/>
        <v>-44188.352537542924</v>
      </c>
      <c r="M51" s="1462"/>
      <c r="N51" s="1463"/>
    </row>
    <row r="52" spans="1:14" ht="13.15" customHeight="1">
      <c r="A52" s="24" t="s">
        <v>1740</v>
      </c>
      <c r="B52" s="25">
        <f t="shared" ref="B52:K52" si="21">SUM(B44:B51)</f>
        <v>72940.651073779823</v>
      </c>
      <c r="C52" s="25">
        <f t="shared" si="21"/>
        <v>71170.193459665519</v>
      </c>
      <c r="D52" s="25">
        <f t="shared" si="21"/>
        <v>69268.590774201584</v>
      </c>
      <c r="E52" s="25">
        <f t="shared" si="21"/>
        <v>67228.494438388356</v>
      </c>
      <c r="F52" s="25">
        <f t="shared" si="21"/>
        <v>65045.361731320059</v>
      </c>
      <c r="G52" s="25">
        <f t="shared" si="21"/>
        <v>62712.449292235127</v>
      </c>
      <c r="H52" s="25">
        <f t="shared" si="21"/>
        <v>60223.806414157472</v>
      </c>
      <c r="I52" s="25">
        <f t="shared" si="21"/>
        <v>57573.268122600457</v>
      </c>
      <c r="J52" s="25">
        <f t="shared" si="21"/>
        <v>54754.448032617067</v>
      </c>
      <c r="K52" s="26">
        <f t="shared" si="21"/>
        <v>51759.730977260922</v>
      </c>
      <c r="M52" s="1462"/>
      <c r="N52" s="1463"/>
    </row>
    <row r="53" spans="1:14" ht="13.15" customHeight="1">
      <c r="A53" s="24" t="str">
        <f>$A23</f>
        <v>Mortgage A</v>
      </c>
      <c r="B53" s="1567">
        <f>IF('Part III A-Sources of Funds'!$M$32="", 0,-'Part III A-Sources of Funds'!$M$32)</f>
        <v>0</v>
      </c>
      <c r="C53" s="1567">
        <f>IF('Part III A-Sources of Funds'!$M$32="", 0,-'Part III A-Sources of Funds'!$M$32)</f>
        <v>0</v>
      </c>
      <c r="D53" s="1567">
        <f>IF('Part III A-Sources of Funds'!$M$32="", 0,-'Part III A-Sources of Funds'!$M$32)</f>
        <v>0</v>
      </c>
      <c r="E53" s="1567">
        <f>IF('Part III A-Sources of Funds'!$M$32="", 0,-'Part III A-Sources of Funds'!$M$32)</f>
        <v>0</v>
      </c>
      <c r="F53" s="1567">
        <f>IF('Part III A-Sources of Funds'!$M$32="", 0,-'Part III A-Sources of Funds'!$M$32)</f>
        <v>0</v>
      </c>
      <c r="G53" s="1567">
        <f>IF('Part III A-Sources of Funds'!$M$32="", 0,-'Part III A-Sources of Funds'!$M$32)</f>
        <v>0</v>
      </c>
      <c r="H53" s="1567">
        <f>IF('Part III A-Sources of Funds'!$M$32="", 0,-'Part III A-Sources of Funds'!$M$32)</f>
        <v>0</v>
      </c>
      <c r="I53" s="1567">
        <f>IF('Part III A-Sources of Funds'!$M$32="", 0,-'Part III A-Sources of Funds'!$M$32)</f>
        <v>0</v>
      </c>
      <c r="J53" s="1567">
        <f>IF('Part III A-Sources of Funds'!$M$32="", 0,-'Part III A-Sources of Funds'!$M$32)</f>
        <v>0</v>
      </c>
      <c r="K53" s="1567">
        <f>IF('Part III A-Sources of Funds'!$M$32="", 0,-'Part III A-Sources of Funds'!$M$32)</f>
        <v>0</v>
      </c>
      <c r="M53" s="1462"/>
      <c r="N53" s="1463"/>
    </row>
    <row r="54" spans="1:14" ht="13.15" customHeight="1">
      <c r="A54" s="24" t="str">
        <f>$A24</f>
        <v>Mortgage B</v>
      </c>
      <c r="B54" s="1568">
        <f>IF('Part III A-Sources of Funds'!$M$33="", 0,-'Part III A-Sources of Funds'!$M$33)</f>
        <v>0</v>
      </c>
      <c r="C54" s="1568">
        <f>IF('Part III A-Sources of Funds'!$M$33="", 0,-'Part III A-Sources of Funds'!$M$33)</f>
        <v>0</v>
      </c>
      <c r="D54" s="1568">
        <f>IF('Part III A-Sources of Funds'!$M$33="", 0,-'Part III A-Sources of Funds'!$M$33)</f>
        <v>0</v>
      </c>
      <c r="E54" s="1568">
        <f>IF('Part III A-Sources of Funds'!$M$33="", 0,-'Part III A-Sources of Funds'!$M$33)</f>
        <v>0</v>
      </c>
      <c r="F54" s="1568">
        <f>IF('Part III A-Sources of Funds'!$M$33="", 0,-'Part III A-Sources of Funds'!$M$33)</f>
        <v>0</v>
      </c>
      <c r="G54" s="1568">
        <f>IF('Part III A-Sources of Funds'!$M$33="", 0,-'Part III A-Sources of Funds'!$M$33)</f>
        <v>0</v>
      </c>
      <c r="H54" s="1568">
        <f>IF('Part III A-Sources of Funds'!$M$33="", 0,-'Part III A-Sources of Funds'!$M$33)</f>
        <v>0</v>
      </c>
      <c r="I54" s="1568">
        <f>IF('Part III A-Sources of Funds'!$M$33="", 0,-'Part III A-Sources of Funds'!$M$33)</f>
        <v>0</v>
      </c>
      <c r="J54" s="1568">
        <f>IF('Part III A-Sources of Funds'!$M$33="", 0,-'Part III A-Sources of Funds'!$M$33)</f>
        <v>0</v>
      </c>
      <c r="K54" s="1568">
        <f>IF('Part III A-Sources of Funds'!$M$33="", 0,-'Part III A-Sources of Funds'!$M$33)</f>
        <v>0</v>
      </c>
      <c r="M54" s="1462"/>
      <c r="N54" s="1463"/>
    </row>
    <row r="55" spans="1:14" ht="13.15" customHeight="1">
      <c r="A55" s="24" t="str">
        <f>$A25</f>
        <v>Mortgage C</v>
      </c>
      <c r="B55" s="1568">
        <f>IF('Part III A-Sources of Funds'!$M$34="", 0,-'Part III A-Sources of Funds'!$M$34)</f>
        <v>0</v>
      </c>
      <c r="C55" s="1568">
        <f>IF('Part III A-Sources of Funds'!$M$34="", 0,-'Part III A-Sources of Funds'!$M$34)</f>
        <v>0</v>
      </c>
      <c r="D55" s="1568">
        <f>IF('Part III A-Sources of Funds'!$M$34="", 0,-'Part III A-Sources of Funds'!$M$34)</f>
        <v>0</v>
      </c>
      <c r="E55" s="1568">
        <f>IF('Part III A-Sources of Funds'!$M$34="", 0,-'Part III A-Sources of Funds'!$M$34)</f>
        <v>0</v>
      </c>
      <c r="F55" s="1568">
        <f>IF('Part III A-Sources of Funds'!$M$34="", 0,-'Part III A-Sources of Funds'!$M$34)</f>
        <v>0</v>
      </c>
      <c r="G55" s="1568">
        <f>IF('Part III A-Sources of Funds'!$M$34="", 0,-'Part III A-Sources of Funds'!$M$34)</f>
        <v>0</v>
      </c>
      <c r="H55" s="1568">
        <f>IF('Part III A-Sources of Funds'!$M$34="", 0,-'Part III A-Sources of Funds'!$M$34)</f>
        <v>0</v>
      </c>
      <c r="I55" s="1568">
        <f>IF('Part III A-Sources of Funds'!$M$34="", 0,-'Part III A-Sources of Funds'!$M$34)</f>
        <v>0</v>
      </c>
      <c r="J55" s="1568">
        <f>IF('Part III A-Sources of Funds'!$M$34="", 0,-'Part III A-Sources of Funds'!$M$34)</f>
        <v>0</v>
      </c>
      <c r="K55" s="1568">
        <f>IF('Part III A-Sources of Funds'!$M$34="", 0,-'Part III A-Sources of Funds'!$M$34)</f>
        <v>0</v>
      </c>
      <c r="M55" s="1462"/>
      <c r="N55" s="1463"/>
    </row>
    <row r="56" spans="1:14" ht="13.15" customHeight="1">
      <c r="A56" s="24" t="str">
        <f>$A26</f>
        <v>D/S Other Source</v>
      </c>
      <c r="B56" s="1568">
        <f>IF('Part III A-Sources of Funds'!$M$35="", 0,-'Part III A-Sources of Funds'!$M$35)</f>
        <v>0</v>
      </c>
      <c r="C56" s="1568">
        <f>IF('Part III A-Sources of Funds'!$M$35="", 0,-'Part III A-Sources of Funds'!$M$35)</f>
        <v>0</v>
      </c>
      <c r="D56" s="1568">
        <f>IF('Part III A-Sources of Funds'!$M$35="", 0,-'Part III A-Sources of Funds'!$M$35)</f>
        <v>0</v>
      </c>
      <c r="E56" s="1568">
        <f>IF('Part III A-Sources of Funds'!$M$35="", 0,-'Part III A-Sources of Funds'!$M$35)</f>
        <v>0</v>
      </c>
      <c r="F56" s="1568">
        <f>IF('Part III A-Sources of Funds'!$M$35="", 0,-'Part III A-Sources of Funds'!$M$35)</f>
        <v>0</v>
      </c>
      <c r="G56" s="1568">
        <f>IF('Part III A-Sources of Funds'!$M$35="", 0,-'Part III A-Sources of Funds'!$M$35)</f>
        <v>0</v>
      </c>
      <c r="H56" s="1568">
        <f>IF('Part III A-Sources of Funds'!$M$35="", 0,-'Part III A-Sources of Funds'!$M$35)</f>
        <v>0</v>
      </c>
      <c r="I56" s="1568">
        <f>IF('Part III A-Sources of Funds'!$M$35="", 0,-'Part III A-Sources of Funds'!$M$35)</f>
        <v>0</v>
      </c>
      <c r="J56" s="1568">
        <f>IF('Part III A-Sources of Funds'!$M$35="", 0,-'Part III A-Sources of Funds'!$M$35)</f>
        <v>0</v>
      </c>
      <c r="K56" s="1568">
        <f>IF('Part III A-Sources of Funds'!$M$35="", 0,-'Part III A-Sources of Funds'!$M$35)</f>
        <v>0</v>
      </c>
      <c r="M56" s="1462"/>
      <c r="N56" s="1463"/>
    </row>
    <row r="57" spans="1:14" ht="13.15" customHeight="1">
      <c r="A57" s="24" t="s">
        <v>1241</v>
      </c>
      <c r="B57" s="1569"/>
      <c r="C57" s="1569"/>
      <c r="D57" s="1569"/>
      <c r="E57" s="1569"/>
      <c r="F57" s="1569"/>
      <c r="G57" s="1569"/>
      <c r="H57" s="1569"/>
      <c r="I57" s="1569"/>
      <c r="J57" s="1569"/>
      <c r="K57" s="1569"/>
      <c r="M57" s="1462"/>
      <c r="N57" s="1463"/>
    </row>
    <row r="58" spans="1:14" ht="13.15" customHeight="1">
      <c r="A58" s="24" t="s">
        <v>1686</v>
      </c>
      <c r="B58" s="1568">
        <f>K28*1.03</f>
        <v>-6719.5818967206096</v>
      </c>
      <c r="C58" s="1568">
        <f>B58*1.03</f>
        <v>-6921.1693536222283</v>
      </c>
      <c r="D58" s="1568">
        <f t="shared" ref="D58:K58" si="22">C58*1.03</f>
        <v>-7128.8044342308949</v>
      </c>
      <c r="E58" s="1568">
        <f t="shared" si="22"/>
        <v>-7342.6685672578224</v>
      </c>
      <c r="F58" s="1568">
        <f t="shared" si="22"/>
        <v>-7562.9486242755574</v>
      </c>
      <c r="G58" s="1568">
        <f t="shared" si="22"/>
        <v>-7789.8370830038248</v>
      </c>
      <c r="H58" s="1568">
        <f t="shared" si="22"/>
        <v>-8023.53219549394</v>
      </c>
      <c r="I58" s="1568">
        <f t="shared" si="22"/>
        <v>-8264.2381613587586</v>
      </c>
      <c r="J58" s="1568">
        <v>0</v>
      </c>
      <c r="K58" s="1568">
        <f t="shared" si="22"/>
        <v>0</v>
      </c>
      <c r="M58" s="1462"/>
      <c r="N58" s="1463"/>
    </row>
    <row r="59" spans="1:14" ht="13.15" customHeight="1">
      <c r="A59" s="24" t="s">
        <v>1741</v>
      </c>
      <c r="B59" s="1570">
        <f>IF('Part III A-Sources of Funds'!$M$37="", 0,-'Part III A-Sources of Funds'!$M$37)</f>
        <v>0</v>
      </c>
      <c r="C59" s="1570">
        <f>IF('Part III A-Sources of Funds'!$M$37="", 0,-'Part III A-Sources of Funds'!$M$37)</f>
        <v>0</v>
      </c>
      <c r="D59" s="1570">
        <f>IF('Part III A-Sources of Funds'!$M$37="", 0,-'Part III A-Sources of Funds'!$M$37)</f>
        <v>0</v>
      </c>
      <c r="E59" s="1570">
        <f>IF('Part III A-Sources of Funds'!$M$37="", 0,-'Part III A-Sources of Funds'!$M$37)</f>
        <v>0</v>
      </c>
      <c r="F59" s="1570">
        <f>IF('Part III A-Sources of Funds'!$M$37="", 0,-'Part III A-Sources of Funds'!$M$37)</f>
        <v>0</v>
      </c>
      <c r="G59" s="1570">
        <f>IF('Part III A-Sources of Funds'!$M$37="", 0,-'Part III A-Sources of Funds'!$M$37)</f>
        <v>0</v>
      </c>
      <c r="H59" s="1570">
        <f>IF('Part III A-Sources of Funds'!$M$37="", 0,-'Part III A-Sources of Funds'!$M$37)</f>
        <v>0</v>
      </c>
      <c r="I59" s="1570">
        <f>IF('Part III A-Sources of Funds'!$M$37="", 0,-'Part III A-Sources of Funds'!$M$37)</f>
        <v>0</v>
      </c>
      <c r="J59" s="1570">
        <f>IF('Part III A-Sources of Funds'!$M$37="", 0,-'Part III A-Sources of Funds'!$M$37)</f>
        <v>0</v>
      </c>
      <c r="K59" s="1568">
        <f>IF('Part III A-Sources of Funds'!$M$37="", 0,-'Part III A-Sources of Funds'!$M$37)</f>
        <v>0</v>
      </c>
      <c r="M59" s="1462"/>
      <c r="N59" s="1463"/>
    </row>
    <row r="60" spans="1:14" ht="13.15" customHeight="1">
      <c r="A60" s="24" t="s">
        <v>1687</v>
      </c>
      <c r="B60" s="25">
        <f t="shared" ref="B60:K60" si="23">SUM(B52:B59)</f>
        <v>66221.069177059209</v>
      </c>
      <c r="C60" s="25">
        <f t="shared" si="23"/>
        <v>64249.024106043289</v>
      </c>
      <c r="D60" s="25">
        <f t="shared" si="23"/>
        <v>62139.786339970691</v>
      </c>
      <c r="E60" s="25">
        <f t="shared" si="23"/>
        <v>59885.825871130532</v>
      </c>
      <c r="F60" s="25">
        <f t="shared" si="23"/>
        <v>57482.4131070445</v>
      </c>
      <c r="G60" s="25">
        <f t="shared" si="23"/>
        <v>54922.612209231302</v>
      </c>
      <c r="H60" s="25">
        <f t="shared" si="23"/>
        <v>52200.27421866353</v>
      </c>
      <c r="I60" s="25">
        <f t="shared" si="23"/>
        <v>49309.0299612417</v>
      </c>
      <c r="J60" s="25">
        <f t="shared" si="23"/>
        <v>54754.448032617067</v>
      </c>
      <c r="K60" s="23">
        <f t="shared" si="23"/>
        <v>51759.730977260922</v>
      </c>
      <c r="M60" s="1462"/>
      <c r="N60" s="1463"/>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1.2095296905522501</v>
      </c>
      <c r="C65" s="378">
        <f t="shared" ref="C65:K65" si="28">IF(OR(C50="Choose mgt fee",C50="Choose One!"),"",(C44+C45+C46+C47+C48) / -(C49+C50+C51))</f>
        <v>1.1986287269446003</v>
      </c>
      <c r="D65" s="378">
        <f t="shared" si="28"/>
        <v>1.1878221619281439</v>
      </c>
      <c r="E65" s="378">
        <f t="shared" si="28"/>
        <v>1.1771033942709432</v>
      </c>
      <c r="F65" s="378">
        <f t="shared" si="28"/>
        <v>1.1664756530590563</v>
      </c>
      <c r="G65" s="378">
        <f t="shared" si="28"/>
        <v>1.1559358781081432</v>
      </c>
      <c r="H65" s="378">
        <f t="shared" si="28"/>
        <v>1.1454841410216887</v>
      </c>
      <c r="I65" s="378">
        <f t="shared" si="28"/>
        <v>1.1351204315753038</v>
      </c>
      <c r="J65" s="378">
        <f t="shared" si="28"/>
        <v>1.1248446644305745</v>
      </c>
      <c r="K65" s="379">
        <f t="shared" si="28"/>
        <v>1.1146542163211111</v>
      </c>
      <c r="M65" s="1462"/>
      <c r="N65" s="1463"/>
    </row>
    <row r="66" spans="1:14" ht="13.15" customHeight="1">
      <c r="A66" s="678" t="s">
        <v>3665</v>
      </c>
      <c r="B66" s="1571" t="str">
        <f>IF('Part III A-Sources of Funds'!$H$32="","",-FV('Part III A-Sources of Funds'!$J$32/12,12,B53/12,K36))</f>
        <v/>
      </c>
      <c r="C66" s="1571" t="str">
        <f>IF('Part III A-Sources of Funds'!$H$32="","",-FV('Part III A-Sources of Funds'!$J$32/12,12,C53/12,B66))</f>
        <v/>
      </c>
      <c r="D66" s="1571" t="str">
        <f>IF('Part III A-Sources of Funds'!$H$32="","",-FV('Part III A-Sources of Funds'!$J$32/12,12,D53/12,C66))</f>
        <v/>
      </c>
      <c r="E66" s="1571" t="str">
        <f>IF('Part III A-Sources of Funds'!$H$32="","",-FV('Part III A-Sources of Funds'!$J$32/12,12,E53/12,D66))</f>
        <v/>
      </c>
      <c r="F66" s="1571" t="str">
        <f>IF('Part III A-Sources of Funds'!$H$32="","",-FV('Part III A-Sources of Funds'!$J$32/12,12,F53/12,E66))</f>
        <v/>
      </c>
      <c r="G66" s="1571" t="str">
        <f>IF('Part III A-Sources of Funds'!$H$32="","",-FV('Part III A-Sources of Funds'!$J$32/12,12,G53/12,F66))</f>
        <v/>
      </c>
      <c r="H66" s="1571" t="str">
        <f>IF('Part III A-Sources of Funds'!$H$32="","",-FV('Part III A-Sources of Funds'!$J$32/12,12,H53/12,G66))</f>
        <v/>
      </c>
      <c r="I66" s="1571" t="str">
        <f>IF('Part III A-Sources of Funds'!$H$32="","",-FV('Part III A-Sources of Funds'!$J$32/12,12,I53/12,H66))</f>
        <v/>
      </c>
      <c r="J66" s="1571" t="str">
        <f>IF('Part III A-Sources of Funds'!$H$32="","",-FV('Part III A-Sources of Funds'!$J$32/12,12,J53/12,I66))</f>
        <v/>
      </c>
      <c r="K66" s="1571" t="str">
        <f>IF('Part III A-Sources of Funds'!$H$32="","",-FV('Part III A-Sources of Funds'!$J$32/12,12,K53/12,J66))</f>
        <v/>
      </c>
      <c r="M66" s="1462"/>
      <c r="N66" s="1463"/>
    </row>
    <row r="67" spans="1:14" ht="13.15" customHeight="1">
      <c r="A67" s="678" t="s">
        <v>3666</v>
      </c>
      <c r="B67" s="1568" t="str">
        <f>IF('Part III A-Sources of Funds'!$H$33="","",-FV('Part III A-Sources of Funds'!$J$33/12,12,B54/12,K37))</f>
        <v/>
      </c>
      <c r="C67" s="1568" t="str">
        <f>IF('Part III A-Sources of Funds'!$H$33="","",-FV('Part III A-Sources of Funds'!$J$33/12,12,C54/12,B67))</f>
        <v/>
      </c>
      <c r="D67" s="1568" t="str">
        <f>IF('Part III A-Sources of Funds'!$H$33="","",-FV('Part III A-Sources of Funds'!$J$33/12,12,D54/12,C67))</f>
        <v/>
      </c>
      <c r="E67" s="1568" t="str">
        <f>IF('Part III A-Sources of Funds'!$H$33="","",-FV('Part III A-Sources of Funds'!$J$33/12,12,E54/12,D67))</f>
        <v/>
      </c>
      <c r="F67" s="1568" t="str">
        <f>IF('Part III A-Sources of Funds'!$H$33="","",-FV('Part III A-Sources of Funds'!$J$33/12,12,F54/12,E67))</f>
        <v/>
      </c>
      <c r="G67" s="1568" t="str">
        <f>IF('Part III A-Sources of Funds'!$H$33="","",-FV('Part III A-Sources of Funds'!$J$33/12,12,G54/12,F67))</f>
        <v/>
      </c>
      <c r="H67" s="1568" t="str">
        <f>IF('Part III A-Sources of Funds'!$H$33="","",-FV('Part III A-Sources of Funds'!$J$33/12,12,H54/12,G67))</f>
        <v/>
      </c>
      <c r="I67" s="1568" t="str">
        <f>IF('Part III A-Sources of Funds'!$H$33="","",-FV('Part III A-Sources of Funds'!$J$33/12,12,I54/12,H67))</f>
        <v/>
      </c>
      <c r="J67" s="1568" t="str">
        <f>IF('Part III A-Sources of Funds'!$H$33="","",-FV('Part III A-Sources of Funds'!$J$33/12,12,J54/12,I67))</f>
        <v/>
      </c>
      <c r="K67" s="1568" t="str">
        <f>IF('Part III A-Sources of Funds'!$H$33="","",-FV('Part III A-Sources of Funds'!$J$33/12,12,K54/12,J67))</f>
        <v/>
      </c>
      <c r="M67" s="1462"/>
      <c r="N67" s="1463"/>
    </row>
    <row r="68" spans="1:14" ht="13.15" customHeight="1">
      <c r="A68" s="678" t="s">
        <v>3667</v>
      </c>
      <c r="B68" s="1568" t="str">
        <f>IF('Part III A-Sources of Funds'!$H$34="","",-FV('Part III A-Sources of Funds'!$J$34/12,12,B55/12,K38))</f>
        <v/>
      </c>
      <c r="C68" s="1568" t="str">
        <f>IF('Part III A-Sources of Funds'!$H$34="","",-FV('Part III A-Sources of Funds'!$J$34/12,12,C55/12,B68))</f>
        <v/>
      </c>
      <c r="D68" s="1568" t="str">
        <f>IF('Part III A-Sources of Funds'!$H$34="","",-FV('Part III A-Sources of Funds'!$J$34/12,12,D55/12,C68))</f>
        <v/>
      </c>
      <c r="E68" s="1568" t="str">
        <f>IF('Part III A-Sources of Funds'!$H$34="","",-FV('Part III A-Sources of Funds'!$J$34/12,12,E55/12,D68))</f>
        <v/>
      </c>
      <c r="F68" s="1568" t="str">
        <f>IF('Part III A-Sources of Funds'!$H$34="","",-FV('Part III A-Sources of Funds'!$J$34/12,12,F55/12,E68))</f>
        <v/>
      </c>
      <c r="G68" s="1568" t="str">
        <f>IF('Part III A-Sources of Funds'!$H$34="","",-FV('Part III A-Sources of Funds'!$J$34/12,12,G55/12,F68))</f>
        <v/>
      </c>
      <c r="H68" s="1568" t="str">
        <f>IF('Part III A-Sources of Funds'!$H$34="","",-FV('Part III A-Sources of Funds'!$J$34/12,12,H55/12,G68))</f>
        <v/>
      </c>
      <c r="I68" s="1568" t="str">
        <f>IF('Part III A-Sources of Funds'!$H$34="","",-FV('Part III A-Sources of Funds'!$J$34/12,12,I55/12,H68))</f>
        <v/>
      </c>
      <c r="J68" s="1568" t="str">
        <f>IF('Part III A-Sources of Funds'!$H$34="","",-FV('Part III A-Sources of Funds'!$J$34/12,12,J55/12,I68))</f>
        <v/>
      </c>
      <c r="K68" s="1568" t="str">
        <f>IF('Part III A-Sources of Funds'!$H$34="","",-FV('Part III A-Sources of Funds'!$J$34/12,12,K55/12,J68))</f>
        <v/>
      </c>
      <c r="M68" s="1462"/>
      <c r="N68" s="1463"/>
    </row>
    <row r="69" spans="1:14" ht="13.15" customHeight="1">
      <c r="A69" s="24" t="s">
        <v>1268</v>
      </c>
      <c r="B69" s="1568" t="str">
        <f>IF('Part III A-Sources of Funds'!$H$35="","",-FV('Part III A-Sources of Funds'!$J$35/12,12,B56/12,K39))</f>
        <v/>
      </c>
      <c r="C69" s="1568" t="str">
        <f>IF('Part III A-Sources of Funds'!$H$35="","",-FV('Part III A-Sources of Funds'!$J$35/12,12,C56/12,B69))</f>
        <v/>
      </c>
      <c r="D69" s="1568" t="str">
        <f>IF('Part III A-Sources of Funds'!$H$35="","",-FV('Part III A-Sources of Funds'!$J$35/12,12,D56/12,C69))</f>
        <v/>
      </c>
      <c r="E69" s="1568" t="str">
        <f>IF('Part III A-Sources of Funds'!$H$35="","",-FV('Part III A-Sources of Funds'!$J$35/12,12,E56/12,D69))</f>
        <v/>
      </c>
      <c r="F69" s="1568" t="str">
        <f>IF('Part III A-Sources of Funds'!$H$35="","",-FV('Part III A-Sources of Funds'!$J$35/12,12,F56/12,E69))</f>
        <v/>
      </c>
      <c r="G69" s="1568" t="str">
        <f>IF('Part III A-Sources of Funds'!$H$35="","",-FV('Part III A-Sources of Funds'!$J$35/12,12,G56/12,F69))</f>
        <v/>
      </c>
      <c r="H69" s="1568" t="str">
        <f>IF('Part III A-Sources of Funds'!$H$35="","",-FV('Part III A-Sources of Funds'!$J$35/12,12,H56/12,G69))</f>
        <v/>
      </c>
      <c r="I69" s="1568" t="str">
        <f>IF('Part III A-Sources of Funds'!$H$35="","",-FV('Part III A-Sources of Funds'!$J$35/12,12,I56/12,H69))</f>
        <v/>
      </c>
      <c r="J69" s="1568" t="str">
        <f>IF('Part III A-Sources of Funds'!$H$35="","",-FV('Part III A-Sources of Funds'!$J$35/12,12,J56/12,I69))</f>
        <v/>
      </c>
      <c r="K69" s="1568" t="str">
        <f>IF('Part III A-Sources of Funds'!$H$35="","",-FV('Part III A-Sources of Funds'!$J$35/12,12,K56/12,J69))</f>
        <v/>
      </c>
      <c r="M69" s="1462"/>
      <c r="N69" s="1463"/>
    </row>
    <row r="70" spans="1:14" ht="13.15" customHeight="1">
      <c r="A70" s="678" t="s">
        <v>3650</v>
      </c>
      <c r="B70" s="1568">
        <f>'Part III A-Sources of Funds'!$H$36</f>
        <v>0</v>
      </c>
      <c r="C70" s="1568">
        <f>B70</f>
        <v>0</v>
      </c>
      <c r="D70" s="1568">
        <f t="shared" ref="D70:K70" si="29">C70</f>
        <v>0</v>
      </c>
      <c r="E70" s="1568">
        <f t="shared" si="29"/>
        <v>0</v>
      </c>
      <c r="F70" s="1568">
        <f t="shared" si="29"/>
        <v>0</v>
      </c>
      <c r="G70" s="1568">
        <f t="shared" si="29"/>
        <v>0</v>
      </c>
      <c r="H70" s="1568">
        <f t="shared" si="29"/>
        <v>0</v>
      </c>
      <c r="I70" s="1568">
        <f t="shared" si="29"/>
        <v>0</v>
      </c>
      <c r="J70" s="1568">
        <f t="shared" si="29"/>
        <v>0</v>
      </c>
      <c r="K70" s="1568">
        <f t="shared" si="29"/>
        <v>0</v>
      </c>
      <c r="M70" s="1462"/>
      <c r="N70" s="1463"/>
    </row>
    <row r="71" spans="1:14" ht="13.15" customHeight="1">
      <c r="A71" s="29" t="s">
        <v>1776</v>
      </c>
      <c r="B71" s="1570">
        <f>IF('Part III A-Sources of Funds'!$H$37="","",-FV('Part III A-Sources of Funds'!$J$37/12,12,B59/12,K41))</f>
        <v>0</v>
      </c>
      <c r="C71" s="1570">
        <f>IF('Part III A-Sources of Funds'!$H$37="","",-FV('Part III A-Sources of Funds'!$J$37/12,12,C59/12,B71))</f>
        <v>0</v>
      </c>
      <c r="D71" s="1570">
        <f>IF('Part III A-Sources of Funds'!$H$37="","",-FV('Part III A-Sources of Funds'!$J$37/12,12,D59/12,C71))</f>
        <v>0</v>
      </c>
      <c r="E71" s="1570">
        <f>IF('Part III A-Sources of Funds'!$H$37="","",-FV('Part III A-Sources of Funds'!$J$37/12,12,E59/12,D71))</f>
        <v>0</v>
      </c>
      <c r="F71" s="1570">
        <f>IF('Part III A-Sources of Funds'!$H$37="","",-FV('Part III A-Sources of Funds'!$J$37/12,12,F59/12,E71))</f>
        <v>0</v>
      </c>
      <c r="G71" s="1570">
        <f>IF('Part III A-Sources of Funds'!$H$37="","",-FV('Part III A-Sources of Funds'!$J$37/12,12,G59/12,F71))</f>
        <v>0</v>
      </c>
      <c r="H71" s="1570">
        <f>IF('Part III A-Sources of Funds'!$H$37="","",-FV('Part III A-Sources of Funds'!$J$37/12,12,H59/12,G71))</f>
        <v>0</v>
      </c>
      <c r="I71" s="1570">
        <f>IF('Part III A-Sources of Funds'!$H$37="","",-FV('Part III A-Sources of Funds'!$J$37/12,12,I59/12,H71))</f>
        <v>0</v>
      </c>
      <c r="J71" s="1570">
        <f>IF('Part III A-Sources of Funds'!$H$37="","",-FV('Part III A-Sources of Funds'!$J$37/12,12,J59/12,I71))</f>
        <v>0</v>
      </c>
      <c r="K71" s="1570">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3484</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3672</v>
      </c>
      <c r="N73" s="954"/>
    </row>
    <row r="74" spans="1:14" ht="13.15" customHeight="1">
      <c r="A74" s="21" t="s">
        <v>3383</v>
      </c>
      <c r="B74" s="22">
        <f t="shared" ref="B74:K74" si="31">$B$14*(1+$B$5)^(B73-1)</f>
        <v>541199.87298406835</v>
      </c>
      <c r="C74" s="22">
        <f t="shared" si="31"/>
        <v>552023.87044374971</v>
      </c>
      <c r="D74" s="22">
        <f t="shared" si="31"/>
        <v>563064.34785262472</v>
      </c>
      <c r="E74" s="22">
        <f t="shared" si="31"/>
        <v>574325.63480967714</v>
      </c>
      <c r="F74" s="22">
        <f t="shared" si="31"/>
        <v>585812.14750587067</v>
      </c>
      <c r="G74" s="22">
        <f t="shared" si="31"/>
        <v>597528.39045598812</v>
      </c>
      <c r="H74" s="22">
        <f t="shared" si="31"/>
        <v>609478.95826510794</v>
      </c>
      <c r="I74" s="22">
        <f t="shared" si="31"/>
        <v>621668.53743040992</v>
      </c>
      <c r="J74" s="22">
        <f t="shared" si="31"/>
        <v>634101.9081790183</v>
      </c>
      <c r="K74" s="23">
        <f t="shared" si="31"/>
        <v>646783.94634259853</v>
      </c>
      <c r="M74" s="1460"/>
      <c r="N74" s="1461"/>
    </row>
    <row r="75" spans="1:14" ht="13.15" customHeight="1">
      <c r="A75" s="24" t="s">
        <v>1519</v>
      </c>
      <c r="B75" s="25">
        <f t="shared" ref="B75:K75" si="32">$B$15*(1+$B$5)^(B73-1)</f>
        <v>10698.82125104415</v>
      </c>
      <c r="C75" s="25">
        <f t="shared" si="32"/>
        <v>10912.797676065033</v>
      </c>
      <c r="D75" s="25">
        <f t="shared" si="32"/>
        <v>11131.053629586335</v>
      </c>
      <c r="E75" s="25">
        <f t="shared" si="32"/>
        <v>11353.674702178059</v>
      </c>
      <c r="F75" s="25">
        <f t="shared" si="32"/>
        <v>11580.748196221621</v>
      </c>
      <c r="G75" s="25">
        <f t="shared" si="32"/>
        <v>11812.363160146053</v>
      </c>
      <c r="H75" s="25">
        <f t="shared" si="32"/>
        <v>12048.610423348975</v>
      </c>
      <c r="I75" s="25">
        <f t="shared" si="32"/>
        <v>12289.582631815952</v>
      </c>
      <c r="J75" s="25">
        <f t="shared" si="32"/>
        <v>12535.374284452275</v>
      </c>
      <c r="K75" s="26">
        <f t="shared" si="32"/>
        <v>12786.081770141318</v>
      </c>
      <c r="M75" s="1462"/>
      <c r="N75" s="1463"/>
    </row>
    <row r="76" spans="1:14" ht="13.15" customHeight="1">
      <c r="A76" s="24" t="s">
        <v>3384</v>
      </c>
      <c r="B76" s="25">
        <f t="shared" ref="B76:K76" si="33">-(B74+B75)*$B$8</f>
        <v>-38632.908596457877</v>
      </c>
      <c r="C76" s="25">
        <f t="shared" si="33"/>
        <v>-39405.566768387034</v>
      </c>
      <c r="D76" s="25">
        <f t="shared" si="33"/>
        <v>-40193.678103754777</v>
      </c>
      <c r="E76" s="25">
        <f t="shared" si="33"/>
        <v>-40997.551665829873</v>
      </c>
      <c r="F76" s="25">
        <f t="shared" si="33"/>
        <v>-41817.502699146469</v>
      </c>
      <c r="G76" s="25">
        <f t="shared" si="33"/>
        <v>-42653.852753129395</v>
      </c>
      <c r="H76" s="25">
        <f t="shared" si="33"/>
        <v>-43506.929808191984</v>
      </c>
      <c r="I76" s="25">
        <f t="shared" si="33"/>
        <v>-44377.068404355814</v>
      </c>
      <c r="J76" s="25">
        <f t="shared" si="33"/>
        <v>-45264.609772442949</v>
      </c>
      <c r="K76" s="26">
        <f t="shared" si="33"/>
        <v>-46169.90196789179</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-388373.51712466794</v>
      </c>
      <c r="C79" s="25">
        <f t="shared" si="34"/>
        <v>-400024.72263840795</v>
      </c>
      <c r="D79" s="25">
        <f t="shared" si="34"/>
        <v>-412025.4643175602</v>
      </c>
      <c r="E79" s="25">
        <f t="shared" si="34"/>
        <v>-424386.22824708704</v>
      </c>
      <c r="F79" s="25">
        <f t="shared" si="34"/>
        <v>-437117.81509449956</v>
      </c>
      <c r="G79" s="25">
        <f t="shared" si="34"/>
        <v>-450231.34954733454</v>
      </c>
      <c r="H79" s="25">
        <f t="shared" si="34"/>
        <v>-463738.29003375466</v>
      </c>
      <c r="I79" s="25">
        <f t="shared" si="34"/>
        <v>-477650.43873476726</v>
      </c>
      <c r="J79" s="25">
        <f t="shared" si="34"/>
        <v>-491979.95189681026</v>
      </c>
      <c r="K79" s="26">
        <f t="shared" si="34"/>
        <v>-506739.35045371455</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-30796</v>
      </c>
      <c r="C80" s="25">
        <f>IF(AND('Part VII-Pro Forma'!$G$8="Yes",'Part VII-Pro Forma'!$G$9="Yes"),"Choose One!",IF('Part VII-Pro Forma'!$G$8="Yes",ROUND((-$K$8*(1+'Part VII-Pro Forma'!$B$6)^('Part VII-Pro Forma'!C73-1)),),IF('Part VII-Pro Forma'!$G$9="Yes",ROUND((-(SUM(C74:C77)*'Part VII-Pro Forma'!$K$9)),),"Choose mgt fee")))</f>
        <v>-31412</v>
      </c>
      <c r="D80" s="25">
        <f>IF(AND('Part VII-Pro Forma'!$G$8="Yes",'Part VII-Pro Forma'!$G$9="Yes"),"Choose One!",IF('Part VII-Pro Forma'!$G$8="Yes",ROUND((-$K$8*(1+'Part VII-Pro Forma'!$B$6)^('Part VII-Pro Forma'!D73-1)),),IF('Part VII-Pro Forma'!$G$9="Yes",ROUND((-(SUM(D74:D77)*'Part VII-Pro Forma'!$K$9)),),"Choose mgt fee")))</f>
        <v>-32040</v>
      </c>
      <c r="E80" s="25">
        <f>IF(AND('Part VII-Pro Forma'!$G$8="Yes",'Part VII-Pro Forma'!$G$9="Yes"),"Choose One!",IF('Part VII-Pro Forma'!$G$8="Yes",ROUND((-$K$8*(1+'Part VII-Pro Forma'!$B$6)^('Part VII-Pro Forma'!E73-1)),),IF('Part VII-Pro Forma'!$G$9="Yes",ROUND((-(SUM(E74:E77)*'Part VII-Pro Forma'!$K$9)),),"Choose mgt fee")))</f>
        <v>-32681</v>
      </c>
      <c r="F80" s="25">
        <f>IF(AND('Part VII-Pro Forma'!$G$8="Yes",'Part VII-Pro Forma'!$G$9="Yes"),"Choose One!",IF('Part VII-Pro Forma'!$G$8="Yes",ROUND((-$K$8*(1+'Part VII-Pro Forma'!$B$6)^('Part VII-Pro Forma'!F73-1)),),IF('Part VII-Pro Forma'!$G$9="Yes",ROUND((-(SUM(F74:F77)*'Part VII-Pro Forma'!$K$9)),),"Choose mgt fee")))</f>
        <v>-33335</v>
      </c>
      <c r="G80" s="25">
        <f>IF(AND('Part VII-Pro Forma'!$G$8="Yes",'Part VII-Pro Forma'!$G$9="Yes"),"Choose One!",IF('Part VII-Pro Forma'!$G$8="Yes",ROUND((-$K$8*(1+'Part VII-Pro Forma'!$B$6)^('Part VII-Pro Forma'!G73-1)),),IF('Part VII-Pro Forma'!$G$9="Yes",ROUND((-(SUM(G74:G77)*'Part VII-Pro Forma'!$K$9)),),"Choose mgt fee")))</f>
        <v>-34001</v>
      </c>
      <c r="H80" s="25">
        <f>IF(AND('Part VII-Pro Forma'!$G$8="Yes",'Part VII-Pro Forma'!$G$9="Yes"),"Choose One!",IF('Part VII-Pro Forma'!$G$8="Yes",ROUND((-$K$8*(1+'Part VII-Pro Forma'!$B$6)^('Part VII-Pro Forma'!H73-1)),),IF('Part VII-Pro Forma'!$G$9="Yes",ROUND((-(SUM(H74:H77)*'Part VII-Pro Forma'!$K$9)),),"Choose mgt fee")))</f>
        <v>-34681</v>
      </c>
      <c r="I80" s="25">
        <f>IF(AND('Part VII-Pro Forma'!$G$8="Yes",'Part VII-Pro Forma'!$G$9="Yes"),"Choose One!",IF('Part VII-Pro Forma'!$G$8="Yes",ROUND((-$K$8*(1+'Part VII-Pro Forma'!$B$6)^('Part VII-Pro Forma'!I73-1)),),IF('Part VII-Pro Forma'!$G$9="Yes",ROUND((-(SUM(I74:I77)*'Part VII-Pro Forma'!$K$9)),),"Choose mgt fee")))</f>
        <v>-35375</v>
      </c>
      <c r="J80" s="25">
        <f>IF(AND('Part VII-Pro Forma'!$G$8="Yes",'Part VII-Pro Forma'!$G$9="Yes"),"Choose One!",IF('Part VII-Pro Forma'!$G$8="Yes",ROUND((-$K$8*(1+'Part VII-Pro Forma'!$B$6)^('Part VII-Pro Forma'!J73-1)),),IF('Part VII-Pro Forma'!$G$9="Yes",ROUND((-(SUM(J74:J77)*'Part VII-Pro Forma'!$K$9)),),"Choose mgt fee")))</f>
        <v>-36082</v>
      </c>
      <c r="K80" s="25">
        <f>IF(AND('Part VII-Pro Forma'!$G$8="Yes",'Part VII-Pro Forma'!$G$9="Yes"),"Choose One!",IF('Part VII-Pro Forma'!$G$8="Yes",ROUND((-$K$8*(1+'Part VII-Pro Forma'!$B$6)^('Part VII-Pro Forma'!K73-1)),),IF('Part VII-Pro Forma'!$G$9="Yes",ROUND((-(SUM(K74:K77)*'Part VII-Pro Forma'!$K$9)),),"Choose mgt fee")))</f>
        <v>-36804</v>
      </c>
      <c r="M80" s="1462"/>
      <c r="N80" s="1463"/>
    </row>
    <row r="81" spans="1:14" ht="13.15" customHeight="1">
      <c r="A81" s="24" t="s">
        <v>1739</v>
      </c>
      <c r="B81" s="25">
        <f t="shared" ref="B81:K81" si="35">$B$21*(1+$B$7)^(B73-1)</f>
        <v>-45514.003113669212</v>
      </c>
      <c r="C81" s="25">
        <f t="shared" si="35"/>
        <v>-46879.423207079286</v>
      </c>
      <c r="D81" s="25">
        <f t="shared" si="35"/>
        <v>-48285.805903291664</v>
      </c>
      <c r="E81" s="25">
        <f t="shared" si="35"/>
        <v>-49734.380080390423</v>
      </c>
      <c r="F81" s="25">
        <f t="shared" si="35"/>
        <v>-51226.411482802127</v>
      </c>
      <c r="G81" s="25">
        <f t="shared" si="35"/>
        <v>-52763.20382728619</v>
      </c>
      <c r="H81" s="25">
        <f t="shared" si="35"/>
        <v>-54346.099942104782</v>
      </c>
      <c r="I81" s="25">
        <f t="shared" si="35"/>
        <v>-55976.482940367918</v>
      </c>
      <c r="J81" s="25">
        <f t="shared" si="35"/>
        <v>-57655.777428578956</v>
      </c>
      <c r="K81" s="26">
        <f t="shared" si="35"/>
        <v>-59385.450751436321</v>
      </c>
      <c r="M81" s="1462"/>
      <c r="N81" s="1463"/>
    </row>
    <row r="82" spans="1:14" ht="13.15" customHeight="1">
      <c r="A82" s="24" t="s">
        <v>1740</v>
      </c>
      <c r="B82" s="25">
        <f t="shared" ref="B82:K82" si="36">SUM(B74:B81)</f>
        <v>48582.265400317512</v>
      </c>
      <c r="C82" s="25">
        <f t="shared" si="36"/>
        <v>45214.95550594043</v>
      </c>
      <c r="D82" s="25">
        <f t="shared" si="36"/>
        <v>41650.453157604454</v>
      </c>
      <c r="E82" s="25">
        <f t="shared" si="36"/>
        <v>37880.149518547936</v>
      </c>
      <c r="F82" s="25">
        <f t="shared" si="36"/>
        <v>33896.166425644129</v>
      </c>
      <c r="G82" s="25">
        <f t="shared" si="36"/>
        <v>29691.347488384003</v>
      </c>
      <c r="H82" s="25">
        <f t="shared" si="36"/>
        <v>25255.248904405504</v>
      </c>
      <c r="I82" s="25">
        <f t="shared" si="36"/>
        <v>20579.129982734885</v>
      </c>
      <c r="J82" s="25">
        <f t="shared" si="36"/>
        <v>15654.943365638414</v>
      </c>
      <c r="K82" s="26">
        <f t="shared" si="36"/>
        <v>10471.324939697079</v>
      </c>
      <c r="M82" s="1462"/>
      <c r="N82" s="1463"/>
    </row>
    <row r="83" spans="1:14" ht="13.15" customHeight="1">
      <c r="A83" s="24" t="str">
        <f>$A53</f>
        <v>Mortgage A</v>
      </c>
      <c r="B83" s="1567">
        <v>0</v>
      </c>
      <c r="C83" s="1567">
        <v>0</v>
      </c>
      <c r="D83" s="1567">
        <v>0</v>
      </c>
      <c r="E83" s="1567">
        <v>0</v>
      </c>
      <c r="F83" s="1567">
        <v>0</v>
      </c>
      <c r="G83" s="1567">
        <v>0</v>
      </c>
      <c r="H83" s="1567">
        <v>0</v>
      </c>
      <c r="I83" s="1567">
        <v>0</v>
      </c>
      <c r="J83" s="1567">
        <v>0</v>
      </c>
      <c r="K83" s="1567">
        <v>0</v>
      </c>
      <c r="M83" s="1462"/>
      <c r="N83" s="1463"/>
    </row>
    <row r="84" spans="1:14" ht="13.15" customHeight="1">
      <c r="A84" s="24" t="str">
        <f>$A54</f>
        <v>Mortgage B</v>
      </c>
      <c r="B84" s="1568">
        <f>IF('Part III A-Sources of Funds'!$M$33="", 0,-'Part III A-Sources of Funds'!$M$33)</f>
        <v>0</v>
      </c>
      <c r="C84" s="1568">
        <f>IF('Part III A-Sources of Funds'!$M$33="", 0,-'Part III A-Sources of Funds'!$M$33)</f>
        <v>0</v>
      </c>
      <c r="D84" s="1568">
        <f>IF('Part III A-Sources of Funds'!$M$33="", 0,-'Part III A-Sources of Funds'!$M$33)</f>
        <v>0</v>
      </c>
      <c r="E84" s="1568">
        <f>IF('Part III A-Sources of Funds'!$M$33="", 0,-'Part III A-Sources of Funds'!$M$33)</f>
        <v>0</v>
      </c>
      <c r="F84" s="1568">
        <f>IF('Part III A-Sources of Funds'!$M$33="", 0,-'Part III A-Sources of Funds'!$M$33)</f>
        <v>0</v>
      </c>
      <c r="G84" s="1568">
        <f>IF('Part III A-Sources of Funds'!$M$33="", 0,-'Part III A-Sources of Funds'!$M$33)</f>
        <v>0</v>
      </c>
      <c r="H84" s="1568">
        <f>IF('Part III A-Sources of Funds'!$M$33="", 0,-'Part III A-Sources of Funds'!$M$33)</f>
        <v>0</v>
      </c>
      <c r="I84" s="1568">
        <f>IF('Part III A-Sources of Funds'!$M$33="", 0,-'Part III A-Sources of Funds'!$M$33)</f>
        <v>0</v>
      </c>
      <c r="J84" s="1568">
        <f>IF('Part III A-Sources of Funds'!$M$33="", 0,-'Part III A-Sources of Funds'!$M$33)</f>
        <v>0</v>
      </c>
      <c r="K84" s="1568">
        <f>IF('Part III A-Sources of Funds'!$M$33="", 0,-'Part III A-Sources of Funds'!$M$33)</f>
        <v>0</v>
      </c>
      <c r="M84" s="1462"/>
      <c r="N84" s="1463"/>
    </row>
    <row r="85" spans="1:14" ht="13.15" customHeight="1">
      <c r="A85" s="24" t="str">
        <f>$A55</f>
        <v>Mortgage C</v>
      </c>
      <c r="B85" s="1568">
        <f>IF('Part III A-Sources of Funds'!$M$34="", 0,-'Part III A-Sources of Funds'!$M$34)</f>
        <v>0</v>
      </c>
      <c r="C85" s="1568">
        <f>IF('Part III A-Sources of Funds'!$M$34="", 0,-'Part III A-Sources of Funds'!$M$34)</f>
        <v>0</v>
      </c>
      <c r="D85" s="1568">
        <f>IF('Part III A-Sources of Funds'!$M$34="", 0,-'Part III A-Sources of Funds'!$M$34)</f>
        <v>0</v>
      </c>
      <c r="E85" s="1568">
        <f>IF('Part III A-Sources of Funds'!$M$34="", 0,-'Part III A-Sources of Funds'!$M$34)</f>
        <v>0</v>
      </c>
      <c r="F85" s="1568">
        <f>IF('Part III A-Sources of Funds'!$M$34="", 0,-'Part III A-Sources of Funds'!$M$34)</f>
        <v>0</v>
      </c>
      <c r="G85" s="1568">
        <f>IF('Part III A-Sources of Funds'!$M$34="", 0,-'Part III A-Sources of Funds'!$M$34)</f>
        <v>0</v>
      </c>
      <c r="H85" s="1568">
        <f>IF('Part III A-Sources of Funds'!$M$34="", 0,-'Part III A-Sources of Funds'!$M$34)</f>
        <v>0</v>
      </c>
      <c r="I85" s="1568">
        <f>IF('Part III A-Sources of Funds'!$M$34="", 0,-'Part III A-Sources of Funds'!$M$34)</f>
        <v>0</v>
      </c>
      <c r="J85" s="1568">
        <f>IF('Part III A-Sources of Funds'!$M$34="", 0,-'Part III A-Sources of Funds'!$M$34)</f>
        <v>0</v>
      </c>
      <c r="K85" s="1568">
        <f>IF('Part III A-Sources of Funds'!$M$34="", 0,-'Part III A-Sources of Funds'!$M$34)</f>
        <v>0</v>
      </c>
      <c r="M85" s="1462"/>
      <c r="N85" s="1463"/>
    </row>
    <row r="86" spans="1:14" ht="13.15" customHeight="1">
      <c r="A86" s="24" t="str">
        <f>$A56</f>
        <v>D/S Other Source</v>
      </c>
      <c r="B86" s="1568">
        <f>IF('Part III A-Sources of Funds'!$M$35="", 0,-'Part III A-Sources of Funds'!$M$35)</f>
        <v>0</v>
      </c>
      <c r="C86" s="1568">
        <f>IF('Part III A-Sources of Funds'!$M$35="", 0,-'Part III A-Sources of Funds'!$M$35)</f>
        <v>0</v>
      </c>
      <c r="D86" s="1568">
        <f>IF('Part III A-Sources of Funds'!$M$35="", 0,-'Part III A-Sources of Funds'!$M$35)</f>
        <v>0</v>
      </c>
      <c r="E86" s="1568">
        <f>IF('Part III A-Sources of Funds'!$M$35="", 0,-'Part III A-Sources of Funds'!$M$35)</f>
        <v>0</v>
      </c>
      <c r="F86" s="1568">
        <f>IF('Part III A-Sources of Funds'!$M$35="", 0,-'Part III A-Sources of Funds'!$M$35)</f>
        <v>0</v>
      </c>
      <c r="G86" s="1568">
        <f>IF('Part III A-Sources of Funds'!$M$35="", 0,-'Part III A-Sources of Funds'!$M$35)</f>
        <v>0</v>
      </c>
      <c r="H86" s="1568">
        <f>IF('Part III A-Sources of Funds'!$M$35="", 0,-'Part III A-Sources of Funds'!$M$35)</f>
        <v>0</v>
      </c>
      <c r="I86" s="1568">
        <f>IF('Part III A-Sources of Funds'!$M$35="", 0,-'Part III A-Sources of Funds'!$M$35)</f>
        <v>0</v>
      </c>
      <c r="J86" s="1568">
        <f>IF('Part III A-Sources of Funds'!$M$35="", 0,-'Part III A-Sources of Funds'!$M$35)</f>
        <v>0</v>
      </c>
      <c r="K86" s="1568">
        <f>IF('Part III A-Sources of Funds'!$M$35="", 0,-'Part III A-Sources of Funds'!$M$35)</f>
        <v>0</v>
      </c>
      <c r="M86" s="1462"/>
      <c r="N86" s="1463"/>
    </row>
    <row r="87" spans="1:14" ht="13.15" customHeight="1">
      <c r="A87" s="24" t="s">
        <v>1241</v>
      </c>
      <c r="B87" s="1569"/>
      <c r="C87" s="1569"/>
      <c r="D87" s="1569"/>
      <c r="E87" s="1569"/>
      <c r="F87" s="1569"/>
      <c r="G87" s="1569"/>
      <c r="H87" s="1569"/>
      <c r="I87" s="1569"/>
      <c r="J87" s="1569"/>
      <c r="K87" s="1569"/>
      <c r="M87" s="1462"/>
      <c r="N87" s="1463"/>
    </row>
    <row r="88" spans="1:14" ht="13.15" customHeight="1">
      <c r="A88" s="24" t="s">
        <v>1686</v>
      </c>
      <c r="B88" s="1568">
        <f>K58*1.03</f>
        <v>0</v>
      </c>
      <c r="C88" s="1568">
        <f>B88*1.03</f>
        <v>0</v>
      </c>
      <c r="D88" s="1568">
        <f t="shared" ref="D88:K88" si="37">C88*1.03</f>
        <v>0</v>
      </c>
      <c r="E88" s="1568">
        <f t="shared" si="37"/>
        <v>0</v>
      </c>
      <c r="F88" s="1568">
        <f t="shared" si="37"/>
        <v>0</v>
      </c>
      <c r="G88" s="1568">
        <f t="shared" si="37"/>
        <v>0</v>
      </c>
      <c r="H88" s="1568">
        <f t="shared" si="37"/>
        <v>0</v>
      </c>
      <c r="I88" s="1568">
        <f t="shared" si="37"/>
        <v>0</v>
      </c>
      <c r="J88" s="1568">
        <f t="shared" si="37"/>
        <v>0</v>
      </c>
      <c r="K88" s="1568">
        <f t="shared" si="37"/>
        <v>0</v>
      </c>
      <c r="M88" s="1462"/>
      <c r="N88" s="1463"/>
    </row>
    <row r="89" spans="1:14" ht="13.15" customHeight="1">
      <c r="A89" s="24" t="s">
        <v>1741</v>
      </c>
      <c r="B89" s="1570">
        <f>IF('Part III A-Sources of Funds'!$M$37="", 0,-'Part III A-Sources of Funds'!$M$37)</f>
        <v>0</v>
      </c>
      <c r="C89" s="1570">
        <f>IF('Part III A-Sources of Funds'!$M$37="", 0,-'Part III A-Sources of Funds'!$M$37)</f>
        <v>0</v>
      </c>
      <c r="D89" s="1570">
        <f>IF('Part III A-Sources of Funds'!$M$37="", 0,-'Part III A-Sources of Funds'!$M$37)</f>
        <v>0</v>
      </c>
      <c r="E89" s="1570">
        <f>IF('Part III A-Sources of Funds'!$M$37="", 0,-'Part III A-Sources of Funds'!$M$37)</f>
        <v>0</v>
      </c>
      <c r="F89" s="1570">
        <f>IF('Part III A-Sources of Funds'!$M$37="", 0,-'Part III A-Sources of Funds'!$M$37)</f>
        <v>0</v>
      </c>
      <c r="G89" s="1570">
        <f>IF('Part III A-Sources of Funds'!$M$37="", 0,-'Part III A-Sources of Funds'!$M$37)</f>
        <v>0</v>
      </c>
      <c r="H89" s="1570">
        <f>IF('Part III A-Sources of Funds'!$M$37="", 0,-'Part III A-Sources of Funds'!$M$37)</f>
        <v>0</v>
      </c>
      <c r="I89" s="1570">
        <f>IF('Part III A-Sources of Funds'!$M$37="", 0,-'Part III A-Sources of Funds'!$M$37)</f>
        <v>0</v>
      </c>
      <c r="J89" s="1570">
        <f>IF('Part III A-Sources of Funds'!$M$37="", 0,-'Part III A-Sources of Funds'!$M$37)</f>
        <v>0</v>
      </c>
      <c r="K89" s="1568">
        <f>IF('Part III A-Sources of Funds'!$M$37="", 0,-'Part III A-Sources of Funds'!$M$37)</f>
        <v>0</v>
      </c>
      <c r="M89" s="1462"/>
      <c r="N89" s="1463"/>
    </row>
    <row r="90" spans="1:14" ht="13.15" customHeight="1">
      <c r="A90" s="24" t="s">
        <v>1687</v>
      </c>
      <c r="B90" s="25">
        <f t="shared" ref="B90:K90" si="38">SUM(B82:B89)</f>
        <v>48582.265400317512</v>
      </c>
      <c r="C90" s="25">
        <f t="shared" si="38"/>
        <v>45214.95550594043</v>
      </c>
      <c r="D90" s="25">
        <f t="shared" si="38"/>
        <v>41650.453157604454</v>
      </c>
      <c r="E90" s="25">
        <f t="shared" si="38"/>
        <v>37880.149518547936</v>
      </c>
      <c r="F90" s="25">
        <f t="shared" si="38"/>
        <v>33896.166425644129</v>
      </c>
      <c r="G90" s="25">
        <f t="shared" si="38"/>
        <v>29691.347488384003</v>
      </c>
      <c r="H90" s="25">
        <f t="shared" si="38"/>
        <v>25255.248904405504</v>
      </c>
      <c r="I90" s="25">
        <f t="shared" si="38"/>
        <v>20579.129982734885</v>
      </c>
      <c r="J90" s="25">
        <f t="shared" si="38"/>
        <v>15654.943365638414</v>
      </c>
      <c r="K90" s="23">
        <f t="shared" si="38"/>
        <v>10471.324939697079</v>
      </c>
      <c r="M90" s="1462"/>
      <c r="N90" s="1463"/>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1.1045491464285189</v>
      </c>
      <c r="C95" s="378">
        <f t="shared" ref="C95:K95" si="43">IF(OR(C80="Choose mgt fee",C80="Choose One!"),"",(C74+C75+C76+C77+C78) / -(C79+C80+C81))</f>
        <v>1.0945294360198043</v>
      </c>
      <c r="D95" s="378">
        <f t="shared" si="43"/>
        <v>1.0845949948274156</v>
      </c>
      <c r="E95" s="378">
        <f t="shared" si="43"/>
        <v>1.0747435463821005</v>
      </c>
      <c r="F95" s="378">
        <f t="shared" si="43"/>
        <v>1.0649751124805837</v>
      </c>
      <c r="G95" s="378">
        <f t="shared" si="43"/>
        <v>1.0552916077270953</v>
      </c>
      <c r="H95" s="378">
        <f t="shared" si="43"/>
        <v>1.045688911358051</v>
      </c>
      <c r="I95" s="378">
        <f t="shared" si="43"/>
        <v>1.0361670658723792</v>
      </c>
      <c r="J95" s="378">
        <f t="shared" si="43"/>
        <v>1.0267277949459876</v>
      </c>
      <c r="K95" s="379">
        <f t="shared" si="43"/>
        <v>1.0173674319733386</v>
      </c>
      <c r="M95" s="1462"/>
      <c r="N95" s="1463"/>
    </row>
    <row r="96" spans="1:14" ht="13.15" customHeight="1">
      <c r="A96" s="678" t="s">
        <v>3665</v>
      </c>
      <c r="B96" s="1571" t="str">
        <f>IF('Part III A-Sources of Funds'!$H$32="","",-FV('Part III A-Sources of Funds'!$J$32/12,12,B83/12,K66))</f>
        <v/>
      </c>
      <c r="C96" s="1571" t="str">
        <f>IF('Part III A-Sources of Funds'!$H$32="","",-FV('Part III A-Sources of Funds'!$J$32/12,12,C83/12,B96))</f>
        <v/>
      </c>
      <c r="D96" s="1571" t="str">
        <f>IF('Part III A-Sources of Funds'!$H$32="","",-FV('Part III A-Sources of Funds'!$J$32/12,12,D83/12,C96))</f>
        <v/>
      </c>
      <c r="E96" s="1571" t="str">
        <f>IF('Part III A-Sources of Funds'!$H$32="","",-FV('Part III A-Sources of Funds'!$J$32/12,12,E83/12,D96))</f>
        <v/>
      </c>
      <c r="F96" s="1571" t="str">
        <f>IF('Part III A-Sources of Funds'!$H$32="","",-FV('Part III A-Sources of Funds'!$J$32/12,12,F83/12,E96))</f>
        <v/>
      </c>
      <c r="G96" s="1571" t="str">
        <f>IF('Part III A-Sources of Funds'!$H$32="","",-FV('Part III A-Sources of Funds'!$J$32/12,12,G83/12,F96))</f>
        <v/>
      </c>
      <c r="H96" s="1571" t="str">
        <f>IF('Part III A-Sources of Funds'!$H$32="","",-FV('Part III A-Sources of Funds'!$J$32/12,12,H83/12,G96))</f>
        <v/>
      </c>
      <c r="I96" s="1571" t="str">
        <f>IF('Part III A-Sources of Funds'!$H$32="","",-FV('Part III A-Sources of Funds'!$J$32/12,12,I83/12,H96))</f>
        <v/>
      </c>
      <c r="J96" s="1571" t="str">
        <f>IF('Part III A-Sources of Funds'!$H$32="","",-FV('Part III A-Sources of Funds'!$J$32/12,12,J83/12,I96))</f>
        <v/>
      </c>
      <c r="K96" s="1571" t="str">
        <f>IF('Part III A-Sources of Funds'!$H$32="","",-FV('Part III A-Sources of Funds'!$J$32/12,12,K83/12,J96))</f>
        <v/>
      </c>
      <c r="M96" s="1462"/>
      <c r="N96" s="1463"/>
    </row>
    <row r="97" spans="1:14" ht="13.15" customHeight="1">
      <c r="A97" s="678" t="s">
        <v>3666</v>
      </c>
      <c r="B97" s="1568" t="str">
        <f>IF('Part III A-Sources of Funds'!$H$33="","",-FV('Part III A-Sources of Funds'!$J$33/12,12,B84/12,K67))</f>
        <v/>
      </c>
      <c r="C97" s="1568" t="str">
        <f>IF('Part III A-Sources of Funds'!$H$33="","",-FV('Part III A-Sources of Funds'!$J$33/12,12,C84/12,B97))</f>
        <v/>
      </c>
      <c r="D97" s="1568" t="str">
        <f>IF('Part III A-Sources of Funds'!$H$33="","",-FV('Part III A-Sources of Funds'!$J$33/12,12,D84/12,C97))</f>
        <v/>
      </c>
      <c r="E97" s="1568" t="str">
        <f>IF('Part III A-Sources of Funds'!$H$33="","",-FV('Part III A-Sources of Funds'!$J$33/12,12,E84/12,D97))</f>
        <v/>
      </c>
      <c r="F97" s="1568" t="str">
        <f>IF('Part III A-Sources of Funds'!$H$33="","",-FV('Part III A-Sources of Funds'!$J$33/12,12,F84/12,E97))</f>
        <v/>
      </c>
      <c r="G97" s="1568" t="str">
        <f>IF('Part III A-Sources of Funds'!$H$33="","",-FV('Part III A-Sources of Funds'!$J$33/12,12,G84/12,F97))</f>
        <v/>
      </c>
      <c r="H97" s="1568" t="str">
        <f>IF('Part III A-Sources of Funds'!$H$33="","",-FV('Part III A-Sources of Funds'!$J$33/12,12,H84/12,G97))</f>
        <v/>
      </c>
      <c r="I97" s="1568" t="str">
        <f>IF('Part III A-Sources of Funds'!$H$33="","",-FV('Part III A-Sources of Funds'!$J$33/12,12,I84/12,H97))</f>
        <v/>
      </c>
      <c r="J97" s="1568" t="str">
        <f>IF('Part III A-Sources of Funds'!$H$33="","",-FV('Part III A-Sources of Funds'!$J$33/12,12,J84/12,I97))</f>
        <v/>
      </c>
      <c r="K97" s="1568" t="str">
        <f>IF('Part III A-Sources of Funds'!$H$33="","",-FV('Part III A-Sources of Funds'!$J$33/12,12,K84/12,J97))</f>
        <v/>
      </c>
      <c r="M97" s="1462"/>
      <c r="N97" s="1463"/>
    </row>
    <row r="98" spans="1:14" ht="13.15" customHeight="1">
      <c r="A98" s="678" t="s">
        <v>3667</v>
      </c>
      <c r="B98" s="1568" t="str">
        <f>IF('Part III A-Sources of Funds'!$H$34="","",-FV('Part III A-Sources of Funds'!$J$34/12,12,B85/12,K68))</f>
        <v/>
      </c>
      <c r="C98" s="1568" t="str">
        <f>IF('Part III A-Sources of Funds'!$H$34="","",-FV('Part III A-Sources of Funds'!$J$34/12,12,C85/12,B98))</f>
        <v/>
      </c>
      <c r="D98" s="1568" t="str">
        <f>IF('Part III A-Sources of Funds'!$H$34="","",-FV('Part III A-Sources of Funds'!$J$34/12,12,D85/12,C98))</f>
        <v/>
      </c>
      <c r="E98" s="1568" t="str">
        <f>IF('Part III A-Sources of Funds'!$H$34="","",-FV('Part III A-Sources of Funds'!$J$34/12,12,E85/12,D98))</f>
        <v/>
      </c>
      <c r="F98" s="1568" t="str">
        <f>IF('Part III A-Sources of Funds'!$H$34="","",-FV('Part III A-Sources of Funds'!$J$34/12,12,F85/12,E98))</f>
        <v/>
      </c>
      <c r="G98" s="1568" t="str">
        <f>IF('Part III A-Sources of Funds'!$H$34="","",-FV('Part III A-Sources of Funds'!$J$34/12,12,G85/12,F98))</f>
        <v/>
      </c>
      <c r="H98" s="1568" t="str">
        <f>IF('Part III A-Sources of Funds'!$H$34="","",-FV('Part III A-Sources of Funds'!$J$34/12,12,H85/12,G98))</f>
        <v/>
      </c>
      <c r="I98" s="1568" t="str">
        <f>IF('Part III A-Sources of Funds'!$H$34="","",-FV('Part III A-Sources of Funds'!$J$34/12,12,I85/12,H98))</f>
        <v/>
      </c>
      <c r="J98" s="1568" t="str">
        <f>IF('Part III A-Sources of Funds'!$H$34="","",-FV('Part III A-Sources of Funds'!$J$34/12,12,J85/12,I98))</f>
        <v/>
      </c>
      <c r="K98" s="1568" t="str">
        <f>IF('Part III A-Sources of Funds'!$H$34="","",-FV('Part III A-Sources of Funds'!$J$34/12,12,K85/12,J98))</f>
        <v/>
      </c>
      <c r="M98" s="1462"/>
      <c r="N98" s="1463"/>
    </row>
    <row r="99" spans="1:14" ht="13.15" customHeight="1">
      <c r="A99" s="24" t="s">
        <v>1268</v>
      </c>
      <c r="B99" s="1568" t="str">
        <f>IF('Part III A-Sources of Funds'!$H$35="","",-FV('Part III A-Sources of Funds'!$J$35/12,12,B86/12,K69))</f>
        <v/>
      </c>
      <c r="C99" s="1568" t="str">
        <f>IF('Part III A-Sources of Funds'!$H$35="","",-FV('Part III A-Sources of Funds'!$J$35/12,12,C86/12,B99))</f>
        <v/>
      </c>
      <c r="D99" s="1568" t="str">
        <f>IF('Part III A-Sources of Funds'!$H$35="","",-FV('Part III A-Sources of Funds'!$J$35/12,12,D86/12,C99))</f>
        <v/>
      </c>
      <c r="E99" s="1568" t="str">
        <f>IF('Part III A-Sources of Funds'!$H$35="","",-FV('Part III A-Sources of Funds'!$J$35/12,12,E86/12,D99))</f>
        <v/>
      </c>
      <c r="F99" s="1568" t="str">
        <f>IF('Part III A-Sources of Funds'!$H$35="","",-FV('Part III A-Sources of Funds'!$J$35/12,12,F86/12,E99))</f>
        <v/>
      </c>
      <c r="G99" s="1568" t="str">
        <f>IF('Part III A-Sources of Funds'!$H$35="","",-FV('Part III A-Sources of Funds'!$J$35/12,12,G86/12,F99))</f>
        <v/>
      </c>
      <c r="H99" s="1568" t="str">
        <f>IF('Part III A-Sources of Funds'!$H$35="","",-FV('Part III A-Sources of Funds'!$J$35/12,12,H86/12,G99))</f>
        <v/>
      </c>
      <c r="I99" s="1568" t="str">
        <f>IF('Part III A-Sources of Funds'!$H$35="","",-FV('Part III A-Sources of Funds'!$J$35/12,12,I86/12,H99))</f>
        <v/>
      </c>
      <c r="J99" s="1568" t="str">
        <f>IF('Part III A-Sources of Funds'!$H$35="","",-FV('Part III A-Sources of Funds'!$J$35/12,12,J86/12,I99))</f>
        <v/>
      </c>
      <c r="K99" s="1568" t="str">
        <f>IF('Part III A-Sources of Funds'!$H$35="","",-FV('Part III A-Sources of Funds'!$J$35/12,12,K86/12,J99))</f>
        <v/>
      </c>
      <c r="M99" s="1462"/>
      <c r="N99" s="1463"/>
    </row>
    <row r="100" spans="1:14" ht="13.15" customHeight="1">
      <c r="A100" s="678" t="s">
        <v>3650</v>
      </c>
      <c r="B100" s="1568">
        <f>'Part III A-Sources of Funds'!$H$36</f>
        <v>0</v>
      </c>
      <c r="C100" s="1568">
        <f>B100</f>
        <v>0</v>
      </c>
      <c r="D100" s="1568">
        <f t="shared" ref="D100:K100" si="44">C100</f>
        <v>0</v>
      </c>
      <c r="E100" s="1568">
        <f t="shared" si="44"/>
        <v>0</v>
      </c>
      <c r="F100" s="1568">
        <f t="shared" si="44"/>
        <v>0</v>
      </c>
      <c r="G100" s="1568">
        <f t="shared" si="44"/>
        <v>0</v>
      </c>
      <c r="H100" s="1568">
        <f t="shared" si="44"/>
        <v>0</v>
      </c>
      <c r="I100" s="1568">
        <f t="shared" si="44"/>
        <v>0</v>
      </c>
      <c r="J100" s="1568">
        <f t="shared" si="44"/>
        <v>0</v>
      </c>
      <c r="K100" s="1568">
        <f t="shared" si="44"/>
        <v>0</v>
      </c>
      <c r="M100" s="1462"/>
      <c r="N100" s="1463"/>
    </row>
    <row r="101" spans="1:14" ht="13.15" customHeight="1">
      <c r="A101" s="29" t="s">
        <v>1776</v>
      </c>
      <c r="B101" s="1570">
        <f>IF('Part III A-Sources of Funds'!$H$37="","",-FV('Part III A-Sources of Funds'!$J$37/12,12,B89/12,K71))</f>
        <v>0</v>
      </c>
      <c r="C101" s="1570">
        <f>IF('Part III A-Sources of Funds'!$H$37="","",-FV('Part III A-Sources of Funds'!$J$37/12,12,C89/12,B101))</f>
        <v>0</v>
      </c>
      <c r="D101" s="1570">
        <f>IF('Part III A-Sources of Funds'!$H$37="","",-FV('Part III A-Sources of Funds'!$J$37/12,12,D89/12,C101))</f>
        <v>0</v>
      </c>
      <c r="E101" s="1570">
        <f>IF('Part III A-Sources of Funds'!$H$37="","",-FV('Part III A-Sources of Funds'!$J$37/12,12,E89/12,D101))</f>
        <v>0</v>
      </c>
      <c r="F101" s="1570">
        <f>IF('Part III A-Sources of Funds'!$H$37="","",-FV('Part III A-Sources of Funds'!$J$37/12,12,F89/12,E101))</f>
        <v>0</v>
      </c>
      <c r="G101" s="1570">
        <f>IF('Part III A-Sources of Funds'!$H$37="","",-FV('Part III A-Sources of Funds'!$J$37/12,12,G89/12,F101))</f>
        <v>0</v>
      </c>
      <c r="H101" s="1570">
        <f>IF('Part III A-Sources of Funds'!$H$37="","",-FV('Part III A-Sources of Funds'!$J$37/12,12,H89/12,G101))</f>
        <v>0</v>
      </c>
      <c r="I101" s="1570">
        <f>IF('Part III A-Sources of Funds'!$H$37="","",-FV('Part III A-Sources of Funds'!$J$37/12,12,I89/12,H101))</f>
        <v>0</v>
      </c>
      <c r="J101" s="1570">
        <f>IF('Part III A-Sources of Funds'!$H$37="","",-FV('Part III A-Sources of Funds'!$J$37/12,12,J89/12,I101))</f>
        <v>0</v>
      </c>
      <c r="K101" s="1570">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2"/>
      <c r="C106" s="1572"/>
      <c r="D106" s="1572"/>
      <c r="E106" s="1572"/>
      <c r="F106" s="1573"/>
      <c r="G106" s="1363"/>
      <c r="H106" s="1572"/>
      <c r="I106" s="1572"/>
      <c r="J106" s="1572"/>
      <c r="K106" s="1573"/>
      <c r="M106" s="952" t="s">
        <v>3964</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topLeftCell="A280" zoomScaleNormal="100" zoomScaleSheetLayoutView="85" workbookViewId="0">
      <selection activeCell="A28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2012-017 Cherokee Mill Lofts, Calhoun, Gordon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2709</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3789</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3867</v>
      </c>
      <c r="E31" s="38"/>
      <c r="F31" s="38"/>
      <c r="G31" s="38"/>
      <c r="H31" s="38"/>
      <c r="I31" s="50"/>
      <c r="J31" s="40"/>
      <c r="K31" s="50"/>
      <c r="L31" s="40"/>
      <c r="M31" s="40"/>
      <c r="O31" s="79" t="s">
        <v>849</v>
      </c>
      <c r="P31" s="1574" t="s">
        <v>3981</v>
      </c>
      <c r="Q31" s="232"/>
    </row>
    <row r="32" spans="1:19" ht="12" customHeight="1">
      <c r="B32" s="55" t="s">
        <v>2865</v>
      </c>
      <c r="C32" s="62" t="s">
        <v>994</v>
      </c>
      <c r="E32" s="38"/>
      <c r="F32" s="38"/>
      <c r="G32" s="38"/>
      <c r="H32" s="38"/>
      <c r="J32" s="1575" t="s">
        <v>787</v>
      </c>
      <c r="K32" s="1576"/>
      <c r="L32" s="1576"/>
      <c r="M32" s="1576"/>
      <c r="N32" s="1577"/>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87" customHeight="1">
      <c r="A34" s="1578" t="s">
        <v>4101</v>
      </c>
      <c r="B34" s="1579"/>
      <c r="C34" s="1579"/>
      <c r="D34" s="1579"/>
      <c r="E34" s="1579"/>
      <c r="F34" s="1579"/>
      <c r="G34" s="1579"/>
      <c r="H34" s="1579"/>
      <c r="I34" s="1579"/>
      <c r="J34" s="1579"/>
      <c r="K34" s="1579"/>
      <c r="L34" s="1579"/>
      <c r="M34" s="1579"/>
      <c r="N34" s="1579"/>
      <c r="O34" s="1579"/>
      <c r="P34" s="1579"/>
      <c r="Q34" s="1580"/>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81" t="str">
        <f>'Part I-Project Information'!$H$65</f>
        <v>Family</v>
      </c>
      <c r="K43" s="1582"/>
      <c r="L43" s="1583"/>
      <c r="M43" s="855"/>
      <c r="N43" s="855"/>
      <c r="P43" s="1574" t="s">
        <v>3981</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78" t="s">
        <v>4046</v>
      </c>
      <c r="B45" s="1579"/>
      <c r="C45" s="1579"/>
      <c r="D45" s="1579"/>
      <c r="E45" s="1579"/>
      <c r="F45" s="1579"/>
      <c r="G45" s="1579"/>
      <c r="H45" s="1579"/>
      <c r="I45" s="1579"/>
      <c r="J45" s="1580"/>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3790</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74" t="s">
        <v>4047</v>
      </c>
      <c r="Q49" s="232"/>
    </row>
    <row r="50" spans="1:31" ht="12" customHeight="1">
      <c r="B50" s="55" t="s">
        <v>2865</v>
      </c>
      <c r="C50" s="38" t="s">
        <v>3888</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4" t="s">
        <v>3981</v>
      </c>
      <c r="Q51" s="232"/>
    </row>
    <row r="52" spans="1:31" ht="10.9" customHeight="1">
      <c r="A52" s="194"/>
      <c r="B52" s="50"/>
      <c r="C52" s="79" t="s">
        <v>2591</v>
      </c>
      <c r="D52" s="38" t="s">
        <v>2668</v>
      </c>
      <c r="E52" s="850"/>
      <c r="F52" s="850"/>
      <c r="G52" s="850"/>
      <c r="H52" s="40"/>
      <c r="I52" s="50"/>
      <c r="J52" s="50"/>
      <c r="O52" s="79" t="s">
        <v>2591</v>
      </c>
      <c r="P52" s="1574"/>
      <c r="Q52" s="232"/>
    </row>
    <row r="53" spans="1:31" ht="10.9" customHeight="1">
      <c r="A53" s="194"/>
      <c r="B53" s="50"/>
      <c r="C53" s="79" t="s">
        <v>2592</v>
      </c>
      <c r="D53" s="38" t="s">
        <v>374</v>
      </c>
      <c r="E53" s="850"/>
      <c r="J53" s="79"/>
      <c r="K53" s="79" t="s">
        <v>2592</v>
      </c>
      <c r="L53" s="1584"/>
      <c r="M53" s="1585"/>
      <c r="N53" s="1585"/>
      <c r="O53" s="1585"/>
      <c r="P53" s="1586"/>
      <c r="Q53" s="232"/>
    </row>
    <row r="54" spans="1:31" ht="11.25" customHeight="1">
      <c r="B54" s="127" t="s">
        <v>2737</v>
      </c>
      <c r="D54" s="127"/>
      <c r="E54" s="127"/>
      <c r="F54" s="127"/>
      <c r="G54" s="127"/>
      <c r="H54" s="48"/>
      <c r="I54" s="180"/>
      <c r="J54" s="180"/>
      <c r="K54" s="180"/>
      <c r="L54" s="851"/>
      <c r="M54" s="851"/>
      <c r="N54" s="851"/>
      <c r="O54" s="851"/>
      <c r="P54" s="851"/>
      <c r="Q54" s="60"/>
    </row>
    <row r="55" spans="1:31" ht="25.5" customHeight="1">
      <c r="A55" s="1578" t="s">
        <v>4048</v>
      </c>
      <c r="B55" s="1579"/>
      <c r="C55" s="1579"/>
      <c r="D55" s="1579"/>
      <c r="E55" s="1579"/>
      <c r="F55" s="1579"/>
      <c r="G55" s="1579"/>
      <c r="H55" s="1579"/>
      <c r="I55" s="1579"/>
      <c r="J55" s="1579"/>
      <c r="K55" s="1579"/>
      <c r="L55" s="1579"/>
      <c r="M55" s="1579"/>
      <c r="N55" s="1579"/>
      <c r="O55" s="1579"/>
      <c r="P55" s="1579"/>
      <c r="Q55" s="1580"/>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3791</v>
      </c>
      <c r="C59" s="856"/>
      <c r="D59" s="855"/>
      <c r="E59" s="855"/>
      <c r="F59" s="855"/>
      <c r="G59" s="855"/>
      <c r="H59" s="855"/>
      <c r="I59" s="855"/>
      <c r="J59" s="855"/>
      <c r="K59" s="855"/>
      <c r="O59" s="181" t="s">
        <v>2739</v>
      </c>
      <c r="P59" s="1116"/>
      <c r="Q59" s="1117"/>
    </row>
    <row r="60" spans="1:31" ht="3" customHeight="1"/>
    <row r="61" spans="1:31" ht="12" customHeight="1">
      <c r="B61" s="55" t="s">
        <v>2862</v>
      </c>
      <c r="C61" s="195" t="s">
        <v>3461</v>
      </c>
      <c r="D61" s="183"/>
      <c r="E61" s="183"/>
      <c r="F61" s="183"/>
      <c r="G61" s="183"/>
      <c r="H61" s="183"/>
      <c r="I61" s="50"/>
      <c r="J61" s="50"/>
      <c r="K61" s="50"/>
      <c r="L61" s="803" t="s">
        <v>2862</v>
      </c>
      <c r="M61" s="1587" t="s">
        <v>4049</v>
      </c>
      <c r="N61" s="1588"/>
      <c r="O61" s="1588"/>
      <c r="P61" s="1589"/>
      <c r="Q61" s="232"/>
    </row>
    <row r="62" spans="1:31" ht="12" customHeight="1">
      <c r="B62" s="55" t="s">
        <v>2865</v>
      </c>
      <c r="C62" s="62" t="s">
        <v>2918</v>
      </c>
      <c r="D62" s="183"/>
      <c r="E62" s="183"/>
      <c r="F62" s="183"/>
      <c r="L62" s="803" t="s">
        <v>2865</v>
      </c>
      <c r="M62" s="1587" t="s">
        <v>4050</v>
      </c>
      <c r="N62" s="1588"/>
      <c r="O62" s="1588"/>
      <c r="P62" s="1589"/>
      <c r="Q62" s="232"/>
    </row>
    <row r="63" spans="1:31" ht="12" customHeight="1">
      <c r="B63" s="55" t="s">
        <v>1145</v>
      </c>
      <c r="C63" s="62" t="s">
        <v>3462</v>
      </c>
      <c r="D63" s="183"/>
      <c r="E63" s="183"/>
      <c r="F63" s="183"/>
      <c r="L63" s="803" t="s">
        <v>1145</v>
      </c>
      <c r="M63" s="1587" t="s">
        <v>4051</v>
      </c>
      <c r="N63" s="1588"/>
      <c r="O63" s="1588"/>
      <c r="P63" s="1589"/>
      <c r="Q63" s="352"/>
    </row>
    <row r="64" spans="1:31" ht="12" customHeight="1">
      <c r="B64" s="55" t="s">
        <v>3004</v>
      </c>
      <c r="C64" s="62" t="s">
        <v>3463</v>
      </c>
      <c r="D64" s="183"/>
      <c r="E64" s="183"/>
      <c r="F64" s="183"/>
      <c r="L64" s="803" t="s">
        <v>3004</v>
      </c>
      <c r="M64" s="1590">
        <v>8.6999999999999994E-2</v>
      </c>
      <c r="N64" s="1588"/>
      <c r="O64" s="1588"/>
      <c r="P64" s="1589"/>
      <c r="Q64" s="232"/>
    </row>
    <row r="65" spans="1:31" ht="22.15" customHeight="1">
      <c r="B65" s="192" t="s">
        <v>2588</v>
      </c>
      <c r="C65" s="1125" t="s">
        <v>3868</v>
      </c>
      <c r="D65" s="1125"/>
      <c r="E65" s="1125"/>
      <c r="F65" s="1125"/>
      <c r="G65" s="1125"/>
      <c r="H65" s="1125"/>
      <c r="I65" s="1125"/>
      <c r="J65" s="1125"/>
      <c r="K65" s="1125"/>
      <c r="L65" s="1125"/>
      <c r="M65" s="850"/>
      <c r="O65" s="803" t="s">
        <v>2588</v>
      </c>
      <c r="P65" s="1574" t="s">
        <v>3979</v>
      </c>
      <c r="Q65" s="232"/>
    </row>
    <row r="66" spans="1:31" ht="12" customHeight="1">
      <c r="B66" s="55"/>
      <c r="C66" s="62"/>
      <c r="D66" s="823" t="s">
        <v>3350</v>
      </c>
      <c r="E66" s="38" t="s">
        <v>874</v>
      </c>
      <c r="F66" s="38"/>
      <c r="H66" s="62"/>
      <c r="I66" s="823" t="s">
        <v>3350</v>
      </c>
      <c r="J66" s="38" t="s">
        <v>874</v>
      </c>
      <c r="K66" s="38"/>
      <c r="M66" s="62"/>
      <c r="N66" s="823" t="s">
        <v>3350</v>
      </c>
      <c r="O66" s="38" t="s">
        <v>874</v>
      </c>
      <c r="P66" s="38"/>
      <c r="Q66" s="803"/>
    </row>
    <row r="67" spans="1:31" ht="12" customHeight="1">
      <c r="B67" s="55"/>
      <c r="C67" s="62">
        <v>1</v>
      </c>
      <c r="D67" s="1591"/>
      <c r="E67" s="1592"/>
      <c r="F67" s="1592"/>
      <c r="G67" s="1592"/>
      <c r="H67" s="62">
        <v>3</v>
      </c>
      <c r="I67" s="1591"/>
      <c r="J67" s="1592"/>
      <c r="K67" s="1592"/>
      <c r="L67" s="1592"/>
      <c r="M67" s="62">
        <v>5</v>
      </c>
      <c r="N67" s="1591"/>
      <c r="O67" s="1592"/>
      <c r="P67" s="1592"/>
      <c r="Q67" s="1592"/>
    </row>
    <row r="68" spans="1:31" ht="12" customHeight="1">
      <c r="B68" s="55"/>
      <c r="C68" s="62">
        <v>2</v>
      </c>
      <c r="D68" s="1591"/>
      <c r="E68" s="1592"/>
      <c r="F68" s="1592"/>
      <c r="G68" s="1592"/>
      <c r="H68" s="62">
        <v>4</v>
      </c>
      <c r="I68" s="1591"/>
      <c r="J68" s="1592"/>
      <c r="K68" s="1592"/>
      <c r="L68" s="1592"/>
      <c r="M68" s="62">
        <v>6</v>
      </c>
      <c r="N68" s="1591"/>
      <c r="O68" s="1592"/>
      <c r="P68" s="1592"/>
      <c r="Q68" s="1592"/>
    </row>
    <row r="69" spans="1:31" ht="12" customHeight="1">
      <c r="B69" s="55" t="s">
        <v>2589</v>
      </c>
      <c r="C69" s="62" t="s">
        <v>0</v>
      </c>
      <c r="D69" s="183"/>
      <c r="E69" s="183"/>
      <c r="F69" s="183"/>
      <c r="G69" s="183"/>
      <c r="H69" s="183"/>
      <c r="I69" s="50"/>
      <c r="J69" s="50"/>
      <c r="K69" s="183"/>
      <c r="L69" s="850"/>
      <c r="M69" s="850"/>
      <c r="O69" s="803" t="s">
        <v>2589</v>
      </c>
      <c r="P69" s="1593"/>
      <c r="Q69" s="352"/>
    </row>
    <row r="70" spans="1:31" ht="11.25" customHeight="1">
      <c r="B70" s="191" t="s">
        <v>2737</v>
      </c>
      <c r="D70" s="191"/>
      <c r="E70" s="191"/>
      <c r="F70" s="191"/>
      <c r="G70" s="191"/>
      <c r="H70" s="48"/>
      <c r="I70" s="180"/>
      <c r="J70" s="180"/>
      <c r="K70" s="180"/>
      <c r="L70" s="851"/>
      <c r="M70" s="851"/>
      <c r="N70" s="851"/>
      <c r="O70" s="851"/>
      <c r="P70" s="851"/>
      <c r="Q70" s="60"/>
    </row>
    <row r="71" spans="1:31" ht="63.75" customHeight="1">
      <c r="A71" s="1578" t="s">
        <v>4103</v>
      </c>
      <c r="B71" s="1579"/>
      <c r="C71" s="1579"/>
      <c r="D71" s="1579"/>
      <c r="E71" s="1579"/>
      <c r="F71" s="1579"/>
      <c r="G71" s="1579"/>
      <c r="H71" s="1579"/>
      <c r="I71" s="1579"/>
      <c r="J71" s="1579"/>
      <c r="K71" s="1579"/>
      <c r="L71" s="1579"/>
      <c r="M71" s="1579"/>
      <c r="N71" s="1579"/>
      <c r="O71" s="1579"/>
      <c r="P71" s="1579"/>
      <c r="Q71" s="1580"/>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3792</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74" t="s">
        <v>3979</v>
      </c>
      <c r="Q76" s="232"/>
    </row>
    <row r="77" spans="1:31" ht="12" customHeight="1">
      <c r="B77" s="55" t="s">
        <v>2865</v>
      </c>
      <c r="C77" s="62" t="s">
        <v>1871</v>
      </c>
      <c r="D77" s="62"/>
      <c r="E77" s="62"/>
      <c r="F77" s="62"/>
      <c r="G77" s="62"/>
      <c r="H77" s="62"/>
      <c r="I77" s="62"/>
      <c r="J77" s="62"/>
      <c r="K77" s="62"/>
      <c r="L77" s="38"/>
      <c r="M77" s="38"/>
      <c r="O77" s="803" t="s">
        <v>2865</v>
      </c>
      <c r="P77" s="1574" t="s">
        <v>3981</v>
      </c>
      <c r="Q77" s="232"/>
    </row>
    <row r="78" spans="1:31" ht="12" customHeight="1">
      <c r="A78" s="182"/>
      <c r="B78" s="44"/>
      <c r="D78" s="47" t="s">
        <v>790</v>
      </c>
      <c r="E78" s="50"/>
      <c r="F78" s="50"/>
      <c r="G78" s="50"/>
      <c r="H78" s="50"/>
      <c r="I78" s="50"/>
      <c r="K78" s="47" t="s">
        <v>791</v>
      </c>
      <c r="M78" s="1594" t="s">
        <v>4075</v>
      </c>
      <c r="N78" s="1595"/>
      <c r="O78" s="1595"/>
      <c r="P78" s="1596"/>
      <c r="Q78" s="232"/>
    </row>
    <row r="79" spans="1:31" ht="22.9" customHeight="1">
      <c r="A79" s="194"/>
      <c r="B79" s="180"/>
      <c r="C79" s="201" t="s">
        <v>2590</v>
      </c>
      <c r="D79" s="1096" t="s">
        <v>638</v>
      </c>
      <c r="E79" s="1597"/>
      <c r="F79" s="1597"/>
      <c r="G79" s="1597"/>
      <c r="H79" s="1597"/>
      <c r="I79" s="1597"/>
      <c r="J79" s="1597"/>
      <c r="K79" s="1597"/>
      <c r="L79" s="1597"/>
      <c r="M79" s="1597"/>
      <c r="N79" s="1597"/>
      <c r="O79" s="201" t="s">
        <v>2590</v>
      </c>
      <c r="P79" s="1574" t="s">
        <v>3979</v>
      </c>
      <c r="Q79" s="232"/>
    </row>
    <row r="80" spans="1:31" ht="12" customHeight="1">
      <c r="A80" s="194"/>
      <c r="B80" s="180"/>
      <c r="C80" s="79" t="s">
        <v>2591</v>
      </c>
      <c r="D80" s="62" t="s">
        <v>171</v>
      </c>
      <c r="E80" s="62"/>
      <c r="F80" s="62"/>
      <c r="G80" s="62"/>
      <c r="H80" s="62"/>
      <c r="I80" s="62"/>
      <c r="J80" s="62"/>
      <c r="K80" s="62"/>
      <c r="L80" s="62"/>
      <c r="M80" s="62"/>
      <c r="O80" s="79" t="s">
        <v>2591</v>
      </c>
      <c r="P80" s="1574" t="s">
        <v>3981</v>
      </c>
      <c r="Q80" s="232"/>
    </row>
    <row r="81" spans="1:32" s="182" customFormat="1" ht="24.75" customHeight="1">
      <c r="A81" s="194"/>
      <c r="B81" s="711"/>
      <c r="C81" s="201" t="s">
        <v>2592</v>
      </c>
      <c r="D81" s="1125" t="s">
        <v>3943</v>
      </c>
      <c r="E81" s="1125"/>
      <c r="F81" s="1125"/>
      <c r="G81" s="1125"/>
      <c r="H81" s="1125"/>
      <c r="I81" s="1125"/>
      <c r="J81" s="1125"/>
      <c r="K81" s="1125"/>
      <c r="L81" s="1125"/>
      <c r="M81" s="1125"/>
      <c r="N81" s="1125"/>
      <c r="O81" s="201" t="s">
        <v>2592</v>
      </c>
      <c r="P81" s="1598"/>
      <c r="Q81" s="354"/>
      <c r="AE81" s="806"/>
      <c r="AF81" s="806"/>
    </row>
    <row r="82" spans="1:32" ht="12" customHeight="1">
      <c r="B82" s="55" t="s">
        <v>1145</v>
      </c>
      <c r="C82" s="62" t="s">
        <v>173</v>
      </c>
      <c r="D82" s="62"/>
      <c r="E82" s="62"/>
      <c r="F82" s="62"/>
      <c r="G82" s="62"/>
      <c r="H82" s="62"/>
      <c r="I82" s="62"/>
      <c r="J82" s="62"/>
      <c r="K82" s="62"/>
      <c r="L82" s="62"/>
      <c r="M82" s="62"/>
      <c r="O82" s="803" t="s">
        <v>1145</v>
      </c>
      <c r="P82" s="1574"/>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4" t="s">
        <v>3981</v>
      </c>
      <c r="Q84" s="232"/>
    </row>
    <row r="85" spans="1:32" ht="12" customHeight="1">
      <c r="B85" s="55"/>
      <c r="C85" s="79" t="s">
        <v>2591</v>
      </c>
      <c r="D85" s="62" t="s">
        <v>2011</v>
      </c>
      <c r="E85" s="62"/>
      <c r="F85" s="62"/>
      <c r="G85" s="62"/>
      <c r="H85" s="62"/>
      <c r="I85" s="62"/>
      <c r="J85" s="62"/>
      <c r="K85" s="62"/>
      <c r="L85" s="38"/>
      <c r="M85" s="38"/>
      <c r="O85" s="79" t="s">
        <v>2591</v>
      </c>
      <c r="P85" s="1574" t="s">
        <v>3979</v>
      </c>
      <c r="Q85" s="232"/>
    </row>
    <row r="86" spans="1:32" ht="12" customHeight="1">
      <c r="B86" s="55"/>
      <c r="C86" s="79" t="s">
        <v>2592</v>
      </c>
      <c r="D86" s="62" t="s">
        <v>2012</v>
      </c>
      <c r="E86" s="62"/>
      <c r="F86" s="62"/>
      <c r="G86" s="62"/>
      <c r="H86" s="62"/>
      <c r="I86" s="62"/>
      <c r="J86" s="62"/>
      <c r="K86" s="62"/>
      <c r="L86" s="38"/>
      <c r="M86" s="38"/>
      <c r="O86" s="79" t="s">
        <v>2592</v>
      </c>
      <c r="P86" s="1574" t="s">
        <v>3979</v>
      </c>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578" t="s">
        <v>4076</v>
      </c>
      <c r="B88" s="1579"/>
      <c r="C88" s="1579"/>
      <c r="D88" s="1579"/>
      <c r="E88" s="1579"/>
      <c r="F88" s="1579"/>
      <c r="G88" s="1579"/>
      <c r="H88" s="1579"/>
      <c r="I88" s="1579"/>
      <c r="J88" s="1579"/>
      <c r="K88" s="1579"/>
      <c r="L88" s="1579"/>
      <c r="M88" s="1579"/>
      <c r="N88" s="1579"/>
      <c r="O88" s="1579"/>
      <c r="P88" s="1579"/>
      <c r="Q88" s="1580"/>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3793</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3935</v>
      </c>
      <c r="D94" s="183"/>
      <c r="E94" s="183"/>
      <c r="F94" s="183"/>
      <c r="G94" s="183"/>
      <c r="H94" s="183"/>
      <c r="I94" s="50"/>
      <c r="J94" s="50"/>
      <c r="K94" s="50"/>
      <c r="L94" s="803" t="s">
        <v>2862</v>
      </c>
      <c r="M94" s="1584" t="s">
        <v>4052</v>
      </c>
      <c r="N94" s="1585"/>
      <c r="O94" s="1585"/>
      <c r="P94" s="1586"/>
      <c r="Q94" s="232"/>
    </row>
    <row r="95" spans="1:32" ht="12" customHeight="1">
      <c r="B95" s="55" t="s">
        <v>2865</v>
      </c>
      <c r="C95" s="62" t="s">
        <v>2141</v>
      </c>
      <c r="D95" s="183"/>
      <c r="E95" s="183"/>
      <c r="F95" s="183"/>
      <c r="G95" s="183"/>
      <c r="H95" s="183"/>
      <c r="I95" s="50"/>
      <c r="J95" s="50"/>
      <c r="K95" s="183"/>
      <c r="L95" s="183"/>
      <c r="M95" s="850"/>
      <c r="O95" s="803" t="s">
        <v>2865</v>
      </c>
      <c r="P95" s="1574" t="s">
        <v>3979</v>
      </c>
      <c r="Q95" s="352"/>
    </row>
    <row r="96" spans="1:32" ht="12" customHeight="1">
      <c r="B96" s="55" t="s">
        <v>1145</v>
      </c>
      <c r="C96" s="62" t="s">
        <v>186</v>
      </c>
      <c r="D96" s="183"/>
      <c r="E96" s="183"/>
      <c r="F96" s="183"/>
      <c r="G96" s="183"/>
      <c r="H96" s="183"/>
      <c r="I96" s="50"/>
      <c r="J96" s="50"/>
      <c r="K96" s="183"/>
      <c r="L96" s="850"/>
      <c r="M96" s="850"/>
      <c r="O96" s="803" t="s">
        <v>1145</v>
      </c>
      <c r="P96" s="1574" t="s">
        <v>3981</v>
      </c>
      <c r="Q96" s="232"/>
    </row>
    <row r="97" spans="2:17" ht="12" customHeight="1">
      <c r="B97" s="55"/>
      <c r="C97" s="78" t="s">
        <v>2590</v>
      </c>
      <c r="D97" s="62" t="s">
        <v>3936</v>
      </c>
      <c r="E97" s="183"/>
      <c r="F97" s="183"/>
      <c r="G97" s="183"/>
      <c r="H97" s="183"/>
      <c r="I97" s="50"/>
      <c r="J97" s="50"/>
      <c r="K97" s="183"/>
      <c r="L97" s="79" t="s">
        <v>2590</v>
      </c>
      <c r="M97" s="1584" t="s">
        <v>4077</v>
      </c>
      <c r="N97" s="1585"/>
      <c r="O97" s="1585"/>
      <c r="P97" s="1586"/>
      <c r="Q97" s="352"/>
    </row>
    <row r="98" spans="2:17" ht="12" customHeight="1">
      <c r="B98" s="189"/>
      <c r="C98" s="79" t="s">
        <v>2591</v>
      </c>
      <c r="D98" s="44" t="s">
        <v>3643</v>
      </c>
      <c r="E98" s="50"/>
      <c r="F98" s="50"/>
      <c r="G98" s="50"/>
      <c r="H98" s="62"/>
      <c r="I98" s="50"/>
      <c r="J98" s="50"/>
      <c r="K98" s="183"/>
      <c r="L98" s="850"/>
      <c r="M98" s="850"/>
      <c r="O98" s="803" t="s">
        <v>2591</v>
      </c>
      <c r="P98" s="1593">
        <v>65</v>
      </c>
      <c r="Q98" s="352"/>
    </row>
    <row r="99" spans="2:17" ht="12" customHeight="1">
      <c r="B99" s="189"/>
      <c r="C99" s="803" t="s">
        <v>2592</v>
      </c>
      <c r="D99" s="62" t="s">
        <v>1953</v>
      </c>
      <c r="E99" s="50"/>
      <c r="F99" s="50"/>
      <c r="G99" s="50"/>
      <c r="H99" s="62"/>
      <c r="I99" s="50"/>
      <c r="J99" s="50"/>
      <c r="K99" s="183"/>
      <c r="L99" s="850"/>
      <c r="M99" s="850"/>
      <c r="N99" s="850"/>
      <c r="O99" s="850"/>
    </row>
    <row r="100" spans="2:17" ht="51" customHeight="1">
      <c r="B100" s="851"/>
      <c r="C100" s="79"/>
      <c r="D100" s="1599" t="s">
        <v>4093</v>
      </c>
      <c r="E100" s="1600"/>
      <c r="F100" s="1600"/>
      <c r="G100" s="1600"/>
      <c r="H100" s="1600"/>
      <c r="I100" s="1600"/>
      <c r="J100" s="1600"/>
      <c r="K100" s="1600"/>
      <c r="L100" s="1600"/>
      <c r="M100" s="1600"/>
      <c r="N100" s="1600"/>
      <c r="O100" s="1601"/>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74" t="s">
        <v>3979</v>
      </c>
      <c r="Q102" s="232"/>
    </row>
    <row r="103" spans="2:17" ht="12" customHeight="1">
      <c r="B103" s="55"/>
      <c r="C103" s="79" t="s">
        <v>2591</v>
      </c>
      <c r="D103" s="62" t="s">
        <v>1816</v>
      </c>
      <c r="E103" s="183"/>
      <c r="F103" s="183"/>
      <c r="G103" s="183"/>
      <c r="H103" s="50"/>
      <c r="I103" s="50"/>
      <c r="J103" s="50"/>
      <c r="K103" s="183"/>
      <c r="L103" s="850"/>
      <c r="M103" s="850"/>
      <c r="O103" s="79" t="s">
        <v>2591</v>
      </c>
      <c r="P103" s="1593" t="s">
        <v>3979</v>
      </c>
      <c r="Q103" s="352"/>
    </row>
    <row r="104" spans="2:17" ht="12" customHeight="1">
      <c r="B104" s="55"/>
      <c r="C104" s="79"/>
      <c r="D104" s="62" t="s">
        <v>3763</v>
      </c>
      <c r="E104" s="728" t="s">
        <v>3418</v>
      </c>
      <c r="F104" s="62" t="s">
        <v>3764</v>
      </c>
      <c r="G104" s="50"/>
      <c r="H104" s="62"/>
      <c r="I104" s="50"/>
      <c r="J104" s="50"/>
      <c r="K104" s="183"/>
      <c r="L104" s="850"/>
      <c r="M104" s="850"/>
      <c r="O104" s="728" t="s">
        <v>3418</v>
      </c>
      <c r="P104" s="1602"/>
      <c r="Q104" s="448"/>
    </row>
    <row r="105" spans="2:17" ht="12" customHeight="1">
      <c r="B105" s="55"/>
      <c r="C105" s="79"/>
      <c r="E105" s="728" t="s">
        <v>3419</v>
      </c>
      <c r="F105" s="62" t="s">
        <v>3765</v>
      </c>
      <c r="G105" s="50"/>
      <c r="H105" s="62"/>
      <c r="I105" s="50"/>
      <c r="J105" s="50"/>
      <c r="K105" s="183"/>
      <c r="L105" s="850"/>
      <c r="M105" s="850"/>
      <c r="O105" s="728" t="s">
        <v>3419</v>
      </c>
      <c r="P105" s="1593"/>
      <c r="Q105" s="352"/>
    </row>
    <row r="106" spans="2:17" ht="12" customHeight="1">
      <c r="B106" s="55"/>
      <c r="C106" s="79"/>
      <c r="E106" s="728" t="s">
        <v>3420</v>
      </c>
      <c r="F106" s="62" t="s">
        <v>3766</v>
      </c>
      <c r="G106" s="50"/>
      <c r="H106" s="62"/>
      <c r="I106" s="50"/>
      <c r="J106" s="50"/>
      <c r="K106" s="183"/>
      <c r="L106" s="850"/>
      <c r="M106" s="850"/>
      <c r="O106" s="728" t="s">
        <v>3420</v>
      </c>
      <c r="P106" s="1593"/>
      <c r="Q106" s="352"/>
    </row>
    <row r="107" spans="2:17" ht="12" customHeight="1">
      <c r="B107" s="55"/>
      <c r="C107" s="79" t="s">
        <v>2592</v>
      </c>
      <c r="D107" s="62" t="s">
        <v>1817</v>
      </c>
      <c r="E107" s="183"/>
      <c r="F107" s="183"/>
      <c r="G107" s="183"/>
      <c r="H107" s="62"/>
      <c r="I107" s="50"/>
      <c r="J107" s="50"/>
      <c r="K107" s="183"/>
      <c r="L107" s="850"/>
      <c r="M107" s="850"/>
      <c r="O107" s="79" t="s">
        <v>2592</v>
      </c>
      <c r="P107" s="1574" t="s">
        <v>3979</v>
      </c>
      <c r="Q107" s="232"/>
    </row>
    <row r="108" spans="2:17" ht="12" customHeight="1">
      <c r="B108" s="55"/>
      <c r="C108" s="79"/>
      <c r="D108" s="62" t="s">
        <v>3763</v>
      </c>
      <c r="E108" s="728" t="s">
        <v>3418</v>
      </c>
      <c r="F108" s="62" t="s">
        <v>3767</v>
      </c>
      <c r="G108" s="50"/>
      <c r="H108" s="62"/>
      <c r="I108" s="50"/>
      <c r="J108" s="50"/>
      <c r="K108" s="183"/>
      <c r="L108" s="850"/>
      <c r="O108" s="728" t="s">
        <v>3418</v>
      </c>
      <c r="P108" s="1602"/>
      <c r="Q108" s="353"/>
    </row>
    <row r="109" spans="2:17" ht="12" customHeight="1">
      <c r="B109" s="55"/>
      <c r="C109" s="79"/>
      <c r="E109" s="728" t="s">
        <v>3419</v>
      </c>
      <c r="F109" s="62" t="s">
        <v>3768</v>
      </c>
      <c r="G109" s="50"/>
      <c r="H109" s="62"/>
      <c r="I109" s="50"/>
      <c r="J109" s="50"/>
      <c r="K109" s="183"/>
      <c r="L109" s="850"/>
      <c r="O109" s="728" t="s">
        <v>3419</v>
      </c>
      <c r="P109" s="1593"/>
      <c r="Q109" s="352"/>
    </row>
    <row r="110" spans="2:17" ht="12" customHeight="1">
      <c r="B110" s="55"/>
      <c r="C110" s="79"/>
      <c r="E110" s="728" t="s">
        <v>3420</v>
      </c>
      <c r="F110" s="62" t="s">
        <v>3766</v>
      </c>
      <c r="G110" s="50"/>
      <c r="H110" s="62"/>
      <c r="I110" s="50"/>
      <c r="J110" s="50"/>
      <c r="K110" s="183"/>
      <c r="L110" s="850"/>
      <c r="O110" s="728" t="s">
        <v>3420</v>
      </c>
      <c r="P110" s="1593"/>
      <c r="Q110" s="352"/>
    </row>
    <row r="111" spans="2:17" ht="12" customHeight="1">
      <c r="B111" s="44"/>
      <c r="C111" s="79" t="s">
        <v>3330</v>
      </c>
      <c r="D111" s="62" t="s">
        <v>3769</v>
      </c>
      <c r="E111" s="183"/>
      <c r="F111" s="183"/>
      <c r="G111" s="183"/>
      <c r="H111" s="183"/>
      <c r="I111" s="50"/>
      <c r="J111" s="50"/>
      <c r="K111" s="183"/>
      <c r="L111" s="850"/>
      <c r="M111" s="850"/>
      <c r="O111" s="79" t="s">
        <v>3330</v>
      </c>
      <c r="P111" s="1574" t="s">
        <v>3979</v>
      </c>
      <c r="Q111" s="232"/>
    </row>
    <row r="112" spans="2:17" ht="12" customHeight="1">
      <c r="B112" s="55" t="s">
        <v>2588</v>
      </c>
      <c r="C112" s="196" t="s">
        <v>3395</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3396</v>
      </c>
      <c r="E113" s="183"/>
      <c r="F113" s="1574" t="s">
        <v>3981</v>
      </c>
      <c r="G113" s="232"/>
      <c r="H113" s="79" t="s">
        <v>3330</v>
      </c>
      <c r="I113" s="62" t="s">
        <v>2156</v>
      </c>
      <c r="J113" s="1574" t="s">
        <v>3979</v>
      </c>
      <c r="K113" s="232"/>
      <c r="L113" s="803" t="s">
        <v>107</v>
      </c>
      <c r="M113" s="62" t="s">
        <v>2157</v>
      </c>
      <c r="O113" s="1574" t="s">
        <v>3979</v>
      </c>
      <c r="P113" s="232"/>
    </row>
    <row r="114" spans="1:31" ht="12" customHeight="1">
      <c r="B114" s="44"/>
      <c r="C114" s="79" t="s">
        <v>2591</v>
      </c>
      <c r="D114" s="62" t="s">
        <v>3501</v>
      </c>
      <c r="E114" s="183"/>
      <c r="F114" s="1574" t="s">
        <v>3981</v>
      </c>
      <c r="G114" s="232"/>
      <c r="H114" s="79" t="s">
        <v>2153</v>
      </c>
      <c r="I114" s="62" t="s">
        <v>3771</v>
      </c>
      <c r="J114" s="1603" t="s">
        <v>3979</v>
      </c>
      <c r="K114" s="663"/>
      <c r="L114" s="803" t="s">
        <v>743</v>
      </c>
      <c r="M114" s="65" t="s">
        <v>3772</v>
      </c>
      <c r="O114" s="1603" t="s">
        <v>3979</v>
      </c>
      <c r="P114" s="663"/>
    </row>
    <row r="115" spans="1:31" ht="12" customHeight="1">
      <c r="B115" s="44"/>
      <c r="C115" s="79" t="s">
        <v>2592</v>
      </c>
      <c r="D115" s="62" t="s">
        <v>3770</v>
      </c>
      <c r="E115" s="183"/>
      <c r="F115" s="1574" t="s">
        <v>3979</v>
      </c>
      <c r="G115" s="232"/>
      <c r="H115" s="79" t="s">
        <v>2154</v>
      </c>
      <c r="I115" s="62" t="s">
        <v>2155</v>
      </c>
      <c r="J115" s="1603" t="s">
        <v>3979</v>
      </c>
      <c r="K115" s="663"/>
      <c r="L115" s="803" t="s">
        <v>744</v>
      </c>
      <c r="M115" s="65" t="s">
        <v>3773</v>
      </c>
      <c r="O115" s="1603" t="s">
        <v>3979</v>
      </c>
      <c r="P115" s="663"/>
    </row>
    <row r="116" spans="1:31" ht="12" customHeight="1">
      <c r="B116" s="44"/>
      <c r="C116" s="803" t="s">
        <v>745</v>
      </c>
      <c r="D116" s="62" t="s">
        <v>3774</v>
      </c>
      <c r="E116" s="183"/>
      <c r="F116" s="183"/>
      <c r="G116" s="183"/>
      <c r="H116" s="183"/>
      <c r="J116" s="1584" t="s">
        <v>4078</v>
      </c>
      <c r="K116" s="1585"/>
      <c r="L116" s="1585"/>
      <c r="M116" s="1585"/>
      <c r="N116" s="1585"/>
      <c r="O116" s="1585"/>
      <c r="P116" s="1586"/>
      <c r="Q116" s="232"/>
    </row>
    <row r="117" spans="1:31" ht="12" customHeight="1">
      <c r="B117" s="55" t="s">
        <v>2589</v>
      </c>
      <c r="C117" s="62" t="s">
        <v>1851</v>
      </c>
      <c r="D117" s="183"/>
      <c r="E117" s="183"/>
      <c r="F117" s="183"/>
      <c r="G117" s="183"/>
      <c r="H117" s="183"/>
      <c r="I117" s="50"/>
      <c r="J117" s="50"/>
      <c r="K117" s="183"/>
      <c r="L117" s="183"/>
      <c r="M117" s="850"/>
      <c r="O117" s="803" t="s">
        <v>2589</v>
      </c>
      <c r="P117" s="1574" t="s">
        <v>1469</v>
      </c>
      <c r="Q117" s="232"/>
    </row>
    <row r="118" spans="1:31" ht="12" customHeight="1">
      <c r="A118" s="194"/>
      <c r="B118" s="50"/>
      <c r="C118" s="79" t="s">
        <v>2590</v>
      </c>
      <c r="D118" s="62" t="s">
        <v>995</v>
      </c>
      <c r="E118" s="183"/>
      <c r="F118" s="183"/>
      <c r="G118" s="183"/>
      <c r="H118" s="183"/>
      <c r="O118" s="79" t="s">
        <v>2590</v>
      </c>
      <c r="P118" s="1574"/>
      <c r="Q118" s="232"/>
    </row>
    <row r="119" spans="1:31" ht="12" customHeight="1">
      <c r="A119" s="194"/>
      <c r="B119" s="180"/>
      <c r="C119" s="79" t="s">
        <v>2591</v>
      </c>
      <c r="D119" s="62" t="s">
        <v>681</v>
      </c>
      <c r="E119" s="62"/>
      <c r="F119" s="62"/>
      <c r="G119" s="62"/>
      <c r="H119" s="62"/>
      <c r="I119" s="50"/>
      <c r="J119" s="50"/>
      <c r="K119" s="62"/>
      <c r="L119" s="62"/>
      <c r="M119" s="62"/>
      <c r="O119" s="79" t="s">
        <v>2591</v>
      </c>
      <c r="P119" s="1574"/>
      <c r="Q119" s="232"/>
    </row>
    <row r="120" spans="1:31" ht="12" customHeight="1">
      <c r="A120" s="194"/>
      <c r="B120" s="180"/>
      <c r="C120" s="79" t="s">
        <v>2592</v>
      </c>
      <c r="D120" s="62" t="s">
        <v>951</v>
      </c>
      <c r="E120" s="62"/>
      <c r="F120" s="62"/>
      <c r="G120" s="62"/>
      <c r="H120" s="62"/>
      <c r="I120" s="50"/>
      <c r="J120" s="50"/>
      <c r="K120" s="62"/>
      <c r="L120" s="62"/>
      <c r="M120" s="62"/>
      <c r="O120" s="79" t="s">
        <v>2592</v>
      </c>
      <c r="P120" s="1574"/>
      <c r="Q120" s="232"/>
    </row>
    <row r="121" spans="1:31" ht="12" customHeight="1">
      <c r="B121" s="55" t="s">
        <v>2825</v>
      </c>
      <c r="C121" s="62" t="s">
        <v>2607</v>
      </c>
      <c r="D121" s="183"/>
      <c r="E121" s="183"/>
      <c r="F121" s="183"/>
      <c r="G121" s="183"/>
      <c r="H121" s="183"/>
      <c r="I121" s="50"/>
      <c r="J121" s="50"/>
      <c r="K121" s="183"/>
      <c r="L121" s="183"/>
      <c r="M121" s="850"/>
      <c r="O121" s="803" t="s">
        <v>2825</v>
      </c>
      <c r="P121" s="1574" t="s">
        <v>1469</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30" customHeight="1">
      <c r="A124" s="1578" t="s">
        <v>4079</v>
      </c>
      <c r="B124" s="1579"/>
      <c r="C124" s="1579"/>
      <c r="D124" s="1579"/>
      <c r="E124" s="1579"/>
      <c r="F124" s="1579"/>
      <c r="G124" s="1579"/>
      <c r="H124" s="1579"/>
      <c r="I124" s="1579"/>
      <c r="J124" s="1579"/>
      <c r="K124" s="1579"/>
      <c r="L124" s="1579"/>
      <c r="M124" s="1579"/>
      <c r="N124" s="1579"/>
      <c r="O124" s="1579"/>
      <c r="P124" s="1579"/>
      <c r="Q124" s="1580"/>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3794</v>
      </c>
      <c r="C128" s="856"/>
      <c r="D128" s="855"/>
      <c r="E128" s="855"/>
      <c r="F128" s="855"/>
      <c r="G128" s="855"/>
      <c r="H128" s="855"/>
      <c r="I128" s="855"/>
      <c r="J128" s="855"/>
      <c r="K128" s="855"/>
      <c r="O128" s="181" t="s">
        <v>2739</v>
      </c>
      <c r="P128" s="1116"/>
      <c r="Q128" s="1117"/>
    </row>
    <row r="129" spans="1:31" ht="10.9" customHeight="1">
      <c r="B129" s="55" t="s">
        <v>2862</v>
      </c>
      <c r="C129" s="62" t="s">
        <v>3775</v>
      </c>
      <c r="D129" s="62"/>
      <c r="E129" s="62"/>
      <c r="F129" s="62"/>
      <c r="G129" s="62"/>
      <c r="H129" s="62"/>
      <c r="N129" s="62"/>
      <c r="O129" s="803" t="s">
        <v>2862</v>
      </c>
      <c r="P129" s="1574" t="s">
        <v>3981</v>
      </c>
      <c r="Q129" s="232"/>
    </row>
    <row r="130" spans="1:31" ht="12" customHeight="1">
      <c r="A130" s="189"/>
      <c r="B130" s="55" t="s">
        <v>2865</v>
      </c>
      <c r="C130" s="190" t="s">
        <v>185</v>
      </c>
      <c r="D130" s="190"/>
      <c r="E130" s="190"/>
      <c r="F130" s="190"/>
      <c r="G130" s="190"/>
      <c r="H130" s="190"/>
      <c r="M130" s="803" t="s">
        <v>2865</v>
      </c>
      <c r="N130" s="1604" t="s">
        <v>4053</v>
      </c>
      <c r="O130" s="1605"/>
      <c r="P130" s="1147"/>
      <c r="Q130" s="1148"/>
    </row>
    <row r="131" spans="1:31" ht="12" customHeight="1">
      <c r="A131" s="189"/>
      <c r="B131" s="55" t="s">
        <v>1145</v>
      </c>
      <c r="C131" s="190" t="s">
        <v>952</v>
      </c>
      <c r="D131" s="190"/>
      <c r="E131" s="190"/>
      <c r="F131" s="190"/>
      <c r="G131" s="190"/>
      <c r="H131" s="190"/>
      <c r="J131" s="803" t="s">
        <v>1145</v>
      </c>
      <c r="K131" s="1587" t="s">
        <v>3994</v>
      </c>
      <c r="L131" s="1588"/>
      <c r="M131" s="1588"/>
      <c r="N131" s="1588"/>
      <c r="O131" s="1588"/>
      <c r="P131" s="1606"/>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78" t="s">
        <v>4080</v>
      </c>
      <c r="B133" s="1579"/>
      <c r="C133" s="1579"/>
      <c r="D133" s="1579"/>
      <c r="E133" s="1579"/>
      <c r="F133" s="1579"/>
      <c r="G133" s="1579"/>
      <c r="H133" s="1579"/>
      <c r="I133" s="1579"/>
      <c r="J133" s="1579"/>
      <c r="K133" s="1579"/>
      <c r="L133" s="1579"/>
      <c r="M133" s="1579"/>
      <c r="N133" s="1579"/>
      <c r="O133" s="1579"/>
      <c r="P133" s="1579"/>
      <c r="Q133" s="1580"/>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3795</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74" t="s">
        <v>3981</v>
      </c>
      <c r="Q138" s="232"/>
    </row>
    <row r="139" spans="1:31" ht="22.15" customHeight="1">
      <c r="B139" s="192" t="s">
        <v>2865</v>
      </c>
      <c r="C139" s="1125" t="s">
        <v>3517</v>
      </c>
      <c r="D139" s="1125"/>
      <c r="E139" s="1125"/>
      <c r="F139" s="1125"/>
      <c r="G139" s="1125"/>
      <c r="H139" s="1125"/>
      <c r="I139" s="1125"/>
      <c r="J139" s="1125"/>
      <c r="K139" s="1125"/>
      <c r="L139" s="1125"/>
      <c r="M139" s="1125"/>
      <c r="N139" s="1125"/>
      <c r="O139" s="219" t="s">
        <v>2865</v>
      </c>
      <c r="P139" s="1574"/>
      <c r="Q139" s="232"/>
    </row>
    <row r="140" spans="1:31" ht="21.75" customHeight="1">
      <c r="B140" s="192" t="s">
        <v>1145</v>
      </c>
      <c r="C140" s="1125" t="s">
        <v>3777</v>
      </c>
      <c r="D140" s="1125"/>
      <c r="E140" s="1125"/>
      <c r="F140" s="1125"/>
      <c r="G140" s="1125"/>
      <c r="H140" s="1125"/>
      <c r="I140" s="1125"/>
      <c r="J140" s="1125"/>
      <c r="K140" s="1125"/>
      <c r="L140" s="1125"/>
      <c r="M140" s="1125"/>
      <c r="N140" s="1125"/>
      <c r="O140" s="219" t="s">
        <v>1145</v>
      </c>
      <c r="P140" s="1574"/>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78" t="s">
        <v>4081</v>
      </c>
      <c r="B142" s="1579"/>
      <c r="C142" s="1579"/>
      <c r="D142" s="1579"/>
      <c r="E142" s="1579"/>
      <c r="F142" s="1579"/>
      <c r="G142" s="1579"/>
      <c r="H142" s="1579"/>
      <c r="I142" s="1579"/>
      <c r="J142" s="1579"/>
      <c r="K142" s="1579"/>
      <c r="L142" s="1579"/>
      <c r="M142" s="1579"/>
      <c r="N142" s="1579"/>
      <c r="O142" s="1579"/>
      <c r="P142" s="1579"/>
      <c r="Q142" s="1580"/>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3796</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74" t="s">
        <v>3981</v>
      </c>
      <c r="Q147" s="232"/>
    </row>
    <row r="148" spans="1:32" ht="12" customHeight="1">
      <c r="B148" s="192" t="s">
        <v>2865</v>
      </c>
      <c r="C148" s="197" t="s">
        <v>3778</v>
      </c>
      <c r="D148" s="197"/>
      <c r="E148" s="197"/>
      <c r="F148" s="197"/>
      <c r="G148" s="197"/>
      <c r="H148" s="197"/>
      <c r="I148" s="197"/>
      <c r="J148" s="197"/>
      <c r="K148" s="197"/>
      <c r="L148" s="197"/>
      <c r="M148" s="197"/>
      <c r="O148" s="219" t="s">
        <v>2865</v>
      </c>
      <c r="P148" s="1574" t="s">
        <v>3981</v>
      </c>
      <c r="Q148" s="232"/>
    </row>
    <row r="149" spans="1:32" ht="12" customHeight="1">
      <c r="B149" s="192" t="s">
        <v>1145</v>
      </c>
      <c r="C149" s="197" t="s">
        <v>3779</v>
      </c>
      <c r="D149" s="197"/>
      <c r="E149" s="197"/>
      <c r="F149" s="197"/>
      <c r="G149" s="197"/>
      <c r="H149" s="197"/>
      <c r="I149" s="197"/>
      <c r="J149" s="197"/>
      <c r="K149" s="197"/>
      <c r="L149" s="197"/>
      <c r="M149" s="197"/>
      <c r="O149" s="219" t="s">
        <v>1145</v>
      </c>
      <c r="P149" s="1574" t="s">
        <v>3981</v>
      </c>
      <c r="Q149" s="232"/>
    </row>
    <row r="150" spans="1:32" ht="12" customHeight="1">
      <c r="B150" s="192"/>
      <c r="C150" s="197" t="s">
        <v>3763</v>
      </c>
      <c r="D150" s="197"/>
      <c r="E150" s="728" t="s">
        <v>2590</v>
      </c>
      <c r="F150" s="197" t="s">
        <v>3780</v>
      </c>
      <c r="G150" s="197"/>
      <c r="H150" s="197"/>
      <c r="I150" s="197"/>
      <c r="J150" s="197"/>
      <c r="K150" s="197"/>
      <c r="L150" s="197"/>
      <c r="M150" s="197"/>
      <c r="O150" s="728" t="s">
        <v>2590</v>
      </c>
      <c r="P150" s="1574" t="s">
        <v>3981</v>
      </c>
      <c r="Q150" s="232"/>
    </row>
    <row r="151" spans="1:32" ht="12" customHeight="1">
      <c r="B151" s="192"/>
      <c r="C151" s="197"/>
      <c r="D151" s="197"/>
      <c r="E151" s="728" t="s">
        <v>2591</v>
      </c>
      <c r="F151" s="197" t="s">
        <v>3781</v>
      </c>
      <c r="G151" s="197"/>
      <c r="H151" s="197"/>
      <c r="I151" s="197"/>
      <c r="J151" s="197"/>
      <c r="K151" s="197"/>
      <c r="L151" s="197"/>
      <c r="M151" s="197"/>
      <c r="O151" s="728" t="s">
        <v>2591</v>
      </c>
      <c r="P151" s="1574" t="s">
        <v>3981</v>
      </c>
      <c r="Q151" s="232"/>
    </row>
    <row r="152" spans="1:32" s="182" customFormat="1" ht="21.75" customHeight="1">
      <c r="B152" s="192"/>
      <c r="C152" s="197"/>
      <c r="D152" s="197"/>
      <c r="E152" s="219" t="s">
        <v>2592</v>
      </c>
      <c r="F152" s="1125" t="s">
        <v>3782</v>
      </c>
      <c r="G152" s="1125"/>
      <c r="H152" s="1125"/>
      <c r="I152" s="1125"/>
      <c r="J152" s="1125"/>
      <c r="K152" s="1125"/>
      <c r="L152" s="1125"/>
      <c r="M152" s="1125"/>
      <c r="N152" s="1125"/>
      <c r="O152" s="219" t="s">
        <v>2592</v>
      </c>
      <c r="P152" s="1598" t="s">
        <v>3981</v>
      </c>
      <c r="Q152" s="354"/>
      <c r="AE152" s="806"/>
      <c r="AF152" s="806"/>
    </row>
    <row r="153" spans="1:32" ht="12" customHeight="1">
      <c r="B153" s="192"/>
      <c r="C153" s="197"/>
      <c r="D153" s="197"/>
      <c r="E153" s="728" t="s">
        <v>3330</v>
      </c>
      <c r="F153" s="197" t="s">
        <v>3783</v>
      </c>
      <c r="G153" s="197"/>
      <c r="H153" s="197"/>
      <c r="I153" s="197"/>
      <c r="J153" s="197"/>
      <c r="K153" s="197"/>
      <c r="L153" s="197"/>
      <c r="M153" s="197"/>
      <c r="O153" s="728" t="s">
        <v>3330</v>
      </c>
      <c r="P153" s="1574" t="s">
        <v>3981</v>
      </c>
      <c r="Q153" s="232"/>
    </row>
    <row r="154" spans="1:32" s="182" customFormat="1" ht="21.75" customHeight="1">
      <c r="B154" s="192"/>
      <c r="C154" s="197"/>
      <c r="D154" s="197"/>
      <c r="E154" s="219" t="s">
        <v>2153</v>
      </c>
      <c r="F154" s="1125" t="s">
        <v>3784</v>
      </c>
      <c r="G154" s="1125"/>
      <c r="H154" s="1125"/>
      <c r="I154" s="1125"/>
      <c r="J154" s="1125"/>
      <c r="K154" s="1125"/>
      <c r="L154" s="1125"/>
      <c r="M154" s="1125"/>
      <c r="N154" s="1125"/>
      <c r="O154" s="219" t="s">
        <v>2153</v>
      </c>
      <c r="P154" s="1598"/>
      <c r="Q154" s="354"/>
      <c r="AE154" s="806"/>
      <c r="AF154" s="806"/>
    </row>
    <row r="155" spans="1:32" ht="21.75" customHeight="1">
      <c r="B155" s="192" t="s">
        <v>3004</v>
      </c>
      <c r="C155" s="1125" t="s">
        <v>3785</v>
      </c>
      <c r="D155" s="1125"/>
      <c r="E155" s="1125"/>
      <c r="F155" s="1125"/>
      <c r="G155" s="1125"/>
      <c r="H155" s="1125"/>
      <c r="I155" s="1125"/>
      <c r="J155" s="1125"/>
      <c r="K155" s="1125"/>
      <c r="L155" s="1125"/>
      <c r="M155" s="1125"/>
      <c r="N155" s="1125"/>
      <c r="O155" s="219" t="s">
        <v>3004</v>
      </c>
      <c r="P155" s="1574" t="s">
        <v>3981</v>
      </c>
      <c r="Q155" s="232"/>
    </row>
    <row r="156" spans="1:32" ht="12" customHeight="1">
      <c r="B156" s="192" t="s">
        <v>2588</v>
      </c>
      <c r="C156" s="197" t="s">
        <v>3351</v>
      </c>
      <c r="D156" s="197"/>
      <c r="E156" s="197"/>
      <c r="F156" s="197"/>
      <c r="G156" s="197"/>
      <c r="H156" s="197"/>
      <c r="I156" s="197"/>
      <c r="J156" s="197"/>
      <c r="K156" s="197"/>
      <c r="L156" s="197"/>
      <c r="M156" s="197"/>
      <c r="O156" s="219" t="s">
        <v>2588</v>
      </c>
      <c r="P156" s="1574" t="s">
        <v>3981</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78" t="s">
        <v>4082</v>
      </c>
      <c r="B158" s="1579"/>
      <c r="C158" s="1579"/>
      <c r="D158" s="1579"/>
      <c r="E158" s="1579"/>
      <c r="F158" s="1579"/>
      <c r="G158" s="1579"/>
      <c r="H158" s="1579"/>
      <c r="I158" s="1579"/>
      <c r="J158" s="1579"/>
      <c r="K158" s="1579"/>
      <c r="L158" s="1579"/>
      <c r="M158" s="1579"/>
      <c r="N158" s="1579"/>
      <c r="O158" s="1579"/>
      <c r="P158" s="1579"/>
      <c r="Q158" s="1580"/>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3797</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84" t="s">
        <v>2710</v>
      </c>
      <c r="K163" s="1585"/>
      <c r="L163" s="1585"/>
      <c r="M163" s="1585"/>
      <c r="N163" s="1586"/>
      <c r="O163" s="79" t="s">
        <v>2590</v>
      </c>
      <c r="P163" s="1574" t="s">
        <v>3979</v>
      </c>
      <c r="Q163" s="232"/>
    </row>
    <row r="164" spans="1:31" ht="12" customHeight="1">
      <c r="A164" s="189"/>
      <c r="B164" s="180"/>
      <c r="C164" s="143"/>
      <c r="D164" s="143"/>
      <c r="E164" s="143"/>
      <c r="F164" s="143"/>
      <c r="H164" s="79" t="s">
        <v>2591</v>
      </c>
      <c r="I164" s="62" t="s">
        <v>2204</v>
      </c>
      <c r="J164" s="1584" t="s">
        <v>4054</v>
      </c>
      <c r="K164" s="1585"/>
      <c r="L164" s="1585"/>
      <c r="M164" s="1585"/>
      <c r="N164" s="1586"/>
      <c r="O164" s="79" t="s">
        <v>2591</v>
      </c>
      <c r="P164" s="1574" t="s">
        <v>3981</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78" t="s">
        <v>4083</v>
      </c>
      <c r="B166" s="1579"/>
      <c r="C166" s="1579"/>
      <c r="D166" s="1579"/>
      <c r="E166" s="1579"/>
      <c r="F166" s="1579"/>
      <c r="G166" s="1579"/>
      <c r="H166" s="1579"/>
      <c r="I166" s="1579"/>
      <c r="J166" s="1579"/>
      <c r="K166" s="1579"/>
      <c r="L166" s="1579"/>
      <c r="M166" s="1579"/>
      <c r="N166" s="1579"/>
      <c r="O166" s="1579"/>
      <c r="P166" s="1579"/>
      <c r="Q166" s="1580"/>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3798</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4" t="s">
        <v>3979</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4"/>
      <c r="Q173" s="232"/>
    </row>
    <row r="174" spans="1:31" ht="11.45" customHeight="1">
      <c r="A174" s="189"/>
      <c r="B174" s="192" t="s">
        <v>2865</v>
      </c>
      <c r="C174" s="1125" t="s">
        <v>2720</v>
      </c>
      <c r="D174" s="1125"/>
      <c r="E174" s="1125"/>
      <c r="F174" s="1125"/>
      <c r="G174" s="1125"/>
      <c r="H174" s="79" t="s">
        <v>2590</v>
      </c>
      <c r="I174" s="62" t="s">
        <v>894</v>
      </c>
      <c r="J174" s="1584" t="s">
        <v>4054</v>
      </c>
      <c r="K174" s="1585"/>
      <c r="L174" s="1585"/>
      <c r="M174" s="1585"/>
      <c r="N174" s="1586"/>
      <c r="O174" s="79" t="s">
        <v>2030</v>
      </c>
      <c r="P174" s="1574" t="s">
        <v>3981</v>
      </c>
      <c r="Q174" s="232"/>
    </row>
    <row r="175" spans="1:31" ht="11.45" customHeight="1">
      <c r="A175" s="189"/>
      <c r="B175" s="861"/>
      <c r="C175" s="1125"/>
      <c r="D175" s="1125"/>
      <c r="E175" s="1125"/>
      <c r="F175" s="1125"/>
      <c r="G175" s="1125"/>
      <c r="H175" s="79" t="s">
        <v>2591</v>
      </c>
      <c r="I175" s="62" t="s">
        <v>125</v>
      </c>
      <c r="J175" s="1584" t="s">
        <v>4054</v>
      </c>
      <c r="K175" s="1585"/>
      <c r="L175" s="1585"/>
      <c r="M175" s="1585"/>
      <c r="N175" s="1586"/>
      <c r="O175" s="79" t="s">
        <v>2591</v>
      </c>
      <c r="P175" s="1574" t="s">
        <v>3981</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78" t="s">
        <v>4084</v>
      </c>
      <c r="B177" s="1579"/>
      <c r="C177" s="1579"/>
      <c r="D177" s="1579"/>
      <c r="E177" s="1579"/>
      <c r="F177" s="1579"/>
      <c r="G177" s="1579"/>
      <c r="H177" s="1579"/>
      <c r="I177" s="1579"/>
      <c r="J177" s="1579"/>
      <c r="K177" s="1579"/>
      <c r="L177" s="1579"/>
      <c r="M177" s="1579"/>
      <c r="N177" s="1579"/>
      <c r="O177" s="1579"/>
      <c r="P177" s="1579"/>
      <c r="Q177" s="1580"/>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3799</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4" t="s">
        <v>3981</v>
      </c>
      <c r="Q183" s="232"/>
    </row>
    <row r="184" spans="1:32" ht="11.45" customHeight="1">
      <c r="B184" s="55" t="s">
        <v>2865</v>
      </c>
      <c r="C184" s="62" t="s">
        <v>176</v>
      </c>
      <c r="D184" s="62"/>
      <c r="E184" s="62"/>
      <c r="F184" s="62"/>
      <c r="G184" s="62"/>
      <c r="H184" s="62"/>
      <c r="I184" s="50"/>
      <c r="J184" s="50"/>
      <c r="K184" s="50"/>
      <c r="L184" s="190"/>
      <c r="M184" s="190"/>
      <c r="O184" s="219" t="s">
        <v>2865</v>
      </c>
      <c r="P184" s="1574" t="s">
        <v>3981</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4" t="s">
        <v>3981</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4" t="s">
        <v>3981</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3.15" customHeight="1">
      <c r="A188" s="1578" t="s">
        <v>4085</v>
      </c>
      <c r="B188" s="1579"/>
      <c r="C188" s="1579"/>
      <c r="D188" s="1579"/>
      <c r="E188" s="1579"/>
      <c r="F188" s="1579"/>
      <c r="G188" s="1579"/>
      <c r="H188" s="1579"/>
      <c r="I188" s="1579"/>
      <c r="J188" s="1579"/>
      <c r="K188" s="1579"/>
      <c r="L188" s="1579"/>
      <c r="M188" s="1579"/>
      <c r="N188" s="1579"/>
      <c r="O188" s="1579"/>
      <c r="P188" s="1579"/>
      <c r="Q188" s="158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3800</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74" t="s">
        <v>3979</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4" t="s">
        <v>4055</v>
      </c>
      <c r="N196" s="1585"/>
      <c r="O196" s="1586"/>
      <c r="P196" s="1574" t="s">
        <v>4047</v>
      </c>
      <c r="Q196" s="232"/>
    </row>
    <row r="197" spans="1:32" ht="11.45" customHeight="1">
      <c r="B197" s="55"/>
      <c r="C197" s="79" t="s">
        <v>2591</v>
      </c>
      <c r="D197" s="38" t="s">
        <v>180</v>
      </c>
      <c r="E197" s="38"/>
      <c r="F197" s="38"/>
      <c r="G197" s="38"/>
      <c r="H197" s="38"/>
      <c r="I197" s="50"/>
      <c r="J197" s="50"/>
      <c r="K197" s="50"/>
      <c r="L197" s="79" t="s">
        <v>2082</v>
      </c>
      <c r="M197" s="1584" t="s">
        <v>4056</v>
      </c>
      <c r="N197" s="1585"/>
      <c r="O197" s="1586"/>
      <c r="P197" s="1574" t="s">
        <v>4047</v>
      </c>
      <c r="Q197" s="232"/>
    </row>
    <row r="198" spans="1:32" ht="11.45" customHeight="1">
      <c r="B198" s="55"/>
      <c r="C198" s="79" t="s">
        <v>2592</v>
      </c>
      <c r="D198" s="38" t="s">
        <v>796</v>
      </c>
      <c r="E198" s="38"/>
      <c r="F198" s="38"/>
      <c r="G198" s="38"/>
      <c r="H198" s="38"/>
      <c r="I198" s="50"/>
      <c r="J198" s="50"/>
      <c r="K198" s="50"/>
      <c r="L198" s="79" t="s">
        <v>2083</v>
      </c>
      <c r="M198" s="1607" t="s">
        <v>4057</v>
      </c>
      <c r="N198" s="1608"/>
      <c r="O198" s="1609"/>
      <c r="P198" s="1574" t="s">
        <v>4047</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3519</v>
      </c>
      <c r="D200" s="62"/>
      <c r="E200" s="62"/>
      <c r="F200" s="62"/>
      <c r="G200" s="62"/>
      <c r="H200" s="62"/>
      <c r="I200" s="62"/>
      <c r="J200" s="62"/>
      <c r="K200" s="50"/>
      <c r="L200" s="50"/>
      <c r="M200" s="50"/>
      <c r="N200" s="50"/>
      <c r="O200" s="803" t="s">
        <v>2865</v>
      </c>
      <c r="P200" s="1574" t="s">
        <v>4047</v>
      </c>
      <c r="Q200" s="232"/>
    </row>
    <row r="201" spans="1:32" ht="10.9" customHeight="1">
      <c r="B201" s="55"/>
      <c r="C201" s="62" t="s">
        <v>3518</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0" t="s">
        <v>4058</v>
      </c>
      <c r="E203" s="1611"/>
      <c r="F203" s="1611"/>
      <c r="G203" s="1611"/>
      <c r="H203" s="1612"/>
      <c r="I203" s="447"/>
      <c r="J203" s="292"/>
      <c r="K203" s="79" t="s">
        <v>2592</v>
      </c>
      <c r="L203" s="1610"/>
      <c r="M203" s="1611"/>
      <c r="N203" s="1611"/>
      <c r="O203" s="1612"/>
      <c r="P203" s="355"/>
      <c r="Q203" s="292"/>
      <c r="AE203" s="64"/>
      <c r="AF203" s="64"/>
    </row>
    <row r="204" spans="1:32" s="51" customFormat="1" ht="11.45" customHeight="1">
      <c r="A204" s="126"/>
      <c r="B204" s="61"/>
      <c r="C204" s="79" t="s">
        <v>2591</v>
      </c>
      <c r="D204" s="1613" t="s">
        <v>4059</v>
      </c>
      <c r="E204" s="1614"/>
      <c r="F204" s="1614"/>
      <c r="G204" s="1614"/>
      <c r="H204" s="1615"/>
      <c r="I204" s="652"/>
      <c r="J204" s="293"/>
      <c r="K204" s="79" t="s">
        <v>3330</v>
      </c>
      <c r="L204" s="1613"/>
      <c r="M204" s="1614"/>
      <c r="N204" s="1614"/>
      <c r="O204" s="161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4" t="s">
        <v>4047</v>
      </c>
      <c r="Q206" s="232"/>
    </row>
    <row r="207" spans="1:32" ht="11.45" customHeight="1">
      <c r="B207" s="55"/>
      <c r="C207" s="79" t="s">
        <v>2590</v>
      </c>
      <c r="D207" s="62" t="s">
        <v>188</v>
      </c>
      <c r="E207" s="62"/>
      <c r="F207" s="62"/>
      <c r="G207" s="62"/>
      <c r="H207" s="62"/>
      <c r="I207" s="50"/>
      <c r="J207" s="40"/>
      <c r="K207" s="50"/>
      <c r="L207" s="40"/>
      <c r="M207" s="40"/>
      <c r="O207" s="79" t="s">
        <v>2590</v>
      </c>
      <c r="P207" s="1574" t="s">
        <v>3981</v>
      </c>
      <c r="Q207" s="232"/>
    </row>
    <row r="208" spans="1:32" ht="11.45" customHeight="1">
      <c r="C208" s="79" t="s">
        <v>2591</v>
      </c>
      <c r="D208" s="38" t="s">
        <v>2490</v>
      </c>
      <c r="E208" s="38"/>
      <c r="F208" s="38"/>
      <c r="G208" s="38"/>
      <c r="H208" s="38"/>
      <c r="I208" s="50"/>
      <c r="J208" s="40"/>
      <c r="K208" s="50"/>
      <c r="L208" s="40"/>
      <c r="M208" s="40"/>
      <c r="O208" s="79" t="s">
        <v>2591</v>
      </c>
      <c r="P208" s="1574" t="s">
        <v>3981</v>
      </c>
      <c r="Q208" s="232"/>
    </row>
    <row r="209" spans="1:31" ht="11.45" customHeight="1">
      <c r="C209" s="79" t="s">
        <v>2592</v>
      </c>
      <c r="D209" s="38" t="s">
        <v>2107</v>
      </c>
      <c r="E209" s="38"/>
      <c r="F209" s="38"/>
      <c r="G209" s="38"/>
      <c r="H209" s="38"/>
      <c r="I209" s="50"/>
      <c r="J209" s="40"/>
      <c r="K209" s="50"/>
      <c r="L209" s="40"/>
      <c r="M209" s="40"/>
      <c r="O209" s="79" t="s">
        <v>2592</v>
      </c>
      <c r="P209" s="1574" t="s">
        <v>3981</v>
      </c>
      <c r="Q209" s="232"/>
    </row>
    <row r="210" spans="1:31" ht="11.45" customHeight="1">
      <c r="B210" s="55"/>
      <c r="C210" s="79" t="s">
        <v>3330</v>
      </c>
      <c r="D210" s="38" t="s">
        <v>189</v>
      </c>
      <c r="E210" s="38"/>
      <c r="F210" s="38"/>
      <c r="G210" s="38"/>
      <c r="H210" s="38"/>
      <c r="I210" s="50"/>
      <c r="J210" s="40"/>
      <c r="K210" s="50"/>
      <c r="L210" s="40"/>
      <c r="M210" s="40"/>
      <c r="O210" s="79" t="s">
        <v>3330</v>
      </c>
      <c r="P210" s="1574" t="s">
        <v>3981</v>
      </c>
      <c r="Q210" s="232"/>
    </row>
    <row r="211" spans="1:31" ht="11.45" customHeight="1">
      <c r="B211" s="55"/>
      <c r="C211" s="79" t="s">
        <v>2153</v>
      </c>
      <c r="D211" s="62" t="s">
        <v>1256</v>
      </c>
      <c r="E211" s="62"/>
      <c r="F211" s="62"/>
      <c r="G211" s="62"/>
      <c r="H211" s="62"/>
      <c r="I211" s="50"/>
      <c r="J211" s="40"/>
      <c r="K211" s="50"/>
      <c r="L211" s="40"/>
      <c r="M211" s="40"/>
      <c r="O211" s="79" t="s">
        <v>1257</v>
      </c>
      <c r="P211" s="1574" t="s">
        <v>3981</v>
      </c>
      <c r="Q211" s="232"/>
    </row>
    <row r="212" spans="1:31" ht="11.45" customHeight="1">
      <c r="B212" s="55"/>
      <c r="C212" s="79"/>
      <c r="D212" s="62" t="s">
        <v>2084</v>
      </c>
      <c r="E212" s="62"/>
      <c r="F212" s="62"/>
      <c r="G212" s="62"/>
      <c r="H212" s="62"/>
      <c r="I212" s="50"/>
      <c r="J212" s="40"/>
      <c r="K212" s="50"/>
      <c r="L212" s="40"/>
      <c r="M212" s="40"/>
      <c r="O212" s="79" t="s">
        <v>1258</v>
      </c>
      <c r="P212" s="1574" t="s">
        <v>3979</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3869</v>
      </c>
      <c r="D214" s="62"/>
      <c r="E214" s="62"/>
      <c r="F214" s="62"/>
      <c r="G214" s="62"/>
      <c r="H214" s="62"/>
      <c r="I214" s="62"/>
      <c r="J214" s="62"/>
      <c r="K214" s="50"/>
      <c r="L214" s="62"/>
      <c r="M214" s="62"/>
      <c r="O214" s="803" t="s">
        <v>3004</v>
      </c>
      <c r="P214" s="1574"/>
      <c r="Q214" s="232"/>
    </row>
    <row r="215" spans="1:31" ht="11.45" customHeight="1">
      <c r="B215" s="55"/>
      <c r="C215" s="79" t="s">
        <v>2590</v>
      </c>
      <c r="D215" s="47" t="s">
        <v>1807</v>
      </c>
      <c r="E215" s="50"/>
      <c r="F215" s="50"/>
      <c r="G215" s="47"/>
      <c r="H215" s="38"/>
      <c r="I215" s="50"/>
      <c r="J215" s="38"/>
      <c r="K215" s="50"/>
      <c r="L215" s="38"/>
      <c r="M215" s="38"/>
      <c r="O215" s="79" t="s">
        <v>2590</v>
      </c>
      <c r="P215" s="1574"/>
      <c r="Q215" s="232"/>
    </row>
    <row r="216" spans="1:31" ht="11.45" customHeight="1">
      <c r="B216" s="55"/>
      <c r="C216" s="79" t="s">
        <v>2591</v>
      </c>
      <c r="D216" s="47" t="s">
        <v>181</v>
      </c>
      <c r="E216" s="50"/>
      <c r="F216" s="50"/>
      <c r="G216" s="38"/>
      <c r="H216" s="38"/>
      <c r="I216" s="50"/>
      <c r="J216" s="38"/>
      <c r="K216" s="50"/>
      <c r="L216" s="38"/>
      <c r="M216" s="38"/>
      <c r="O216" s="79" t="s">
        <v>2591</v>
      </c>
      <c r="P216" s="1574"/>
      <c r="Q216" s="232"/>
    </row>
    <row r="217" spans="1:31" ht="11.45" customHeight="1">
      <c r="B217" s="55"/>
      <c r="C217" s="79" t="s">
        <v>2592</v>
      </c>
      <c r="D217" s="38" t="s">
        <v>2468</v>
      </c>
      <c r="E217" s="50"/>
      <c r="F217" s="50"/>
      <c r="G217" s="38"/>
      <c r="H217" s="38"/>
      <c r="I217" s="50"/>
      <c r="J217" s="38"/>
      <c r="K217" s="50"/>
      <c r="L217" s="38"/>
      <c r="M217" s="38"/>
      <c r="O217" s="79" t="s">
        <v>3339</v>
      </c>
      <c r="P217" s="1574"/>
      <c r="Q217" s="232"/>
    </row>
    <row r="218" spans="1:31" ht="11.45" customHeight="1">
      <c r="B218" s="44"/>
      <c r="C218" s="50"/>
      <c r="D218" s="38" t="s">
        <v>1852</v>
      </c>
      <c r="E218" s="50"/>
      <c r="F218" s="50"/>
      <c r="G218" s="38"/>
      <c r="H218" s="38"/>
      <c r="I218" s="50"/>
      <c r="J218" s="38"/>
      <c r="K218" s="50"/>
      <c r="L218" s="38"/>
      <c r="M218" s="38"/>
      <c r="O218" s="79" t="s">
        <v>3340</v>
      </c>
      <c r="P218" s="1574"/>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36.75" customHeight="1">
      <c r="A220" s="1578" t="s">
        <v>4060</v>
      </c>
      <c r="B220" s="1579"/>
      <c r="C220" s="1579"/>
      <c r="D220" s="1579"/>
      <c r="E220" s="1579"/>
      <c r="F220" s="1579"/>
      <c r="G220" s="1579"/>
      <c r="H220" s="1579"/>
      <c r="I220" s="1579"/>
      <c r="J220" s="1579"/>
      <c r="K220" s="1579"/>
      <c r="L220" s="1579"/>
      <c r="M220" s="1579"/>
      <c r="N220" s="1579"/>
      <c r="O220" s="1579"/>
      <c r="P220" s="1579"/>
      <c r="Q220" s="1580"/>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3801</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84" t="s">
        <v>4061</v>
      </c>
      <c r="N226" s="1585"/>
      <c r="O226" s="1586"/>
      <c r="P226" s="1149" t="s">
        <v>2626</v>
      </c>
      <c r="Q226" s="1150"/>
    </row>
    <row r="227" spans="1:32" ht="11.45" customHeight="1">
      <c r="B227" s="55" t="s">
        <v>2865</v>
      </c>
      <c r="C227" s="62" t="s">
        <v>1795</v>
      </c>
      <c r="D227" s="62"/>
      <c r="E227" s="62"/>
      <c r="F227" s="62"/>
      <c r="G227" s="62"/>
      <c r="H227" s="62"/>
      <c r="I227" s="50"/>
      <c r="J227" s="50"/>
      <c r="K227" s="50"/>
      <c r="L227" s="803" t="s">
        <v>2865</v>
      </c>
      <c r="M227" s="1616">
        <v>41066</v>
      </c>
      <c r="N227" s="1617"/>
      <c r="O227" s="1618"/>
      <c r="P227" s="1130"/>
      <c r="Q227" s="1131"/>
    </row>
    <row r="228" spans="1:32" s="199" customFormat="1" ht="11.45" customHeight="1">
      <c r="B228" s="55" t="s">
        <v>1145</v>
      </c>
      <c r="C228" s="62" t="s">
        <v>2823</v>
      </c>
      <c r="D228" s="62"/>
      <c r="E228" s="62"/>
      <c r="F228" s="62"/>
      <c r="G228" s="62"/>
      <c r="H228" s="62"/>
      <c r="I228" s="126"/>
      <c r="J228" s="126"/>
      <c r="K228" s="126"/>
      <c r="L228" s="803" t="s">
        <v>1145</v>
      </c>
      <c r="M228" s="1584" t="s">
        <v>4062</v>
      </c>
      <c r="N228" s="1585"/>
      <c r="O228" s="1586"/>
      <c r="P228" s="1149"/>
      <c r="Q228" s="1150"/>
      <c r="AE228" s="807"/>
      <c r="AF228" s="807"/>
    </row>
    <row r="229" spans="1:32" s="199" customFormat="1" ht="11.45" customHeight="1">
      <c r="B229" s="55" t="s">
        <v>3004</v>
      </c>
      <c r="C229" s="62" t="s">
        <v>3567</v>
      </c>
      <c r="D229" s="62"/>
      <c r="E229" s="62"/>
      <c r="F229" s="62"/>
      <c r="G229" s="62"/>
      <c r="H229" s="62"/>
      <c r="I229" s="126"/>
      <c r="J229" s="126"/>
      <c r="K229" s="126"/>
      <c r="L229" s="126"/>
      <c r="M229" s="126"/>
      <c r="O229" s="803" t="s">
        <v>3004</v>
      </c>
      <c r="P229" s="1574" t="s">
        <v>3979</v>
      </c>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4" t="s">
        <v>4047</v>
      </c>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78" t="s">
        <v>4063</v>
      </c>
      <c r="B232" s="1579"/>
      <c r="C232" s="1579"/>
      <c r="D232" s="1579"/>
      <c r="E232" s="1579"/>
      <c r="F232" s="1579"/>
      <c r="G232" s="1579"/>
      <c r="H232" s="1579"/>
      <c r="I232" s="1579"/>
      <c r="J232" s="1579"/>
      <c r="K232" s="1579"/>
      <c r="L232" s="1579"/>
      <c r="M232" s="1579"/>
      <c r="N232" s="1579"/>
      <c r="O232" s="1579"/>
      <c r="P232" s="1579"/>
      <c r="Q232" s="1580"/>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3802</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3845</v>
      </c>
      <c r="D238" s="1125"/>
      <c r="E238" s="1125"/>
      <c r="F238" s="1125"/>
      <c r="G238" s="1125"/>
      <c r="H238" s="1125"/>
      <c r="I238" s="1125"/>
      <c r="J238" s="1125"/>
      <c r="K238" s="1125"/>
      <c r="L238" s="1125"/>
      <c r="M238" s="1125"/>
      <c r="N238" s="1125"/>
      <c r="O238" s="219" t="s">
        <v>2862</v>
      </c>
      <c r="P238" s="1598" t="s">
        <v>3981</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4" t="s">
        <v>3981</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78" t="s">
        <v>4086</v>
      </c>
      <c r="B241" s="1579"/>
      <c r="C241" s="1579"/>
      <c r="D241" s="1579"/>
      <c r="E241" s="1579"/>
      <c r="F241" s="1579"/>
      <c r="G241" s="1579"/>
      <c r="H241" s="1579"/>
      <c r="I241" s="1579"/>
      <c r="J241" s="1579"/>
      <c r="K241" s="1579"/>
      <c r="L241" s="1579"/>
      <c r="M241" s="1579"/>
      <c r="N241" s="1579"/>
      <c r="O241" s="1579"/>
      <c r="P241" s="1579"/>
      <c r="Q241" s="1580"/>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3803</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3889</v>
      </c>
      <c r="D247" s="1006"/>
      <c r="E247" s="1006"/>
      <c r="F247" s="1006"/>
      <c r="G247" s="1006"/>
      <c r="H247" s="1006"/>
      <c r="I247" s="1006"/>
      <c r="J247" s="1006"/>
      <c r="K247" s="1006"/>
      <c r="L247" s="1006"/>
      <c r="M247" s="1006"/>
      <c r="N247" s="1006"/>
      <c r="O247" s="219" t="s">
        <v>2862</v>
      </c>
      <c r="P247" s="1574" t="s">
        <v>4047</v>
      </c>
      <c r="Q247" s="232"/>
      <c r="AE247" s="808"/>
      <c r="AF247" s="808"/>
    </row>
    <row r="248" spans="1:32" s="661" customFormat="1" ht="24" customHeight="1">
      <c r="B248" s="192" t="s">
        <v>2865</v>
      </c>
      <c r="C248" s="1121" t="s">
        <v>3890</v>
      </c>
      <c r="D248" s="1006"/>
      <c r="E248" s="1006"/>
      <c r="F248" s="1006"/>
      <c r="G248" s="1006"/>
      <c r="H248" s="1006"/>
      <c r="I248" s="1006"/>
      <c r="J248" s="1006"/>
      <c r="K248" s="1006"/>
      <c r="L248" s="1006"/>
      <c r="M248" s="1006"/>
      <c r="N248" s="1006"/>
      <c r="O248" s="219" t="s">
        <v>2865</v>
      </c>
      <c r="P248" s="1574" t="s">
        <v>4047</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78"/>
      <c r="B250" s="1579"/>
      <c r="C250" s="1579"/>
      <c r="D250" s="1579"/>
      <c r="E250" s="1579"/>
      <c r="F250" s="1579"/>
      <c r="G250" s="1579"/>
      <c r="H250" s="1579"/>
      <c r="I250" s="1579"/>
      <c r="J250" s="1579"/>
      <c r="K250" s="1579"/>
      <c r="L250" s="1579"/>
      <c r="M250" s="1579"/>
      <c r="N250" s="1579"/>
      <c r="O250" s="1579"/>
      <c r="P250" s="1579"/>
      <c r="Q250" s="1580"/>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3804</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3832</v>
      </c>
      <c r="D255" s="1121"/>
      <c r="E255" s="1121"/>
      <c r="F255" s="1121"/>
      <c r="G255" s="1121"/>
      <c r="H255" s="1121"/>
      <c r="I255" s="1121"/>
      <c r="J255" s="1121"/>
      <c r="K255" s="1121"/>
      <c r="L255" s="1121"/>
      <c r="M255" s="1121"/>
      <c r="N255" s="1121"/>
      <c r="O255" s="219" t="s">
        <v>2862</v>
      </c>
      <c r="P255" s="1598" t="s">
        <v>3981</v>
      </c>
      <c r="Q255" s="232"/>
      <c r="AE255" s="807"/>
      <c r="AF255" s="807"/>
    </row>
    <row r="256" spans="1:32" s="126" customFormat="1">
      <c r="B256" s="55" t="s">
        <v>2865</v>
      </c>
      <c r="C256" s="1096" t="s">
        <v>3833</v>
      </c>
      <c r="D256" s="1096"/>
      <c r="E256" s="1096"/>
      <c r="F256" s="1096"/>
      <c r="G256" s="1096"/>
      <c r="H256" s="1096"/>
      <c r="I256" s="1096"/>
      <c r="J256" s="1096"/>
      <c r="K256" s="1096"/>
      <c r="L256" s="1096"/>
      <c r="M256" s="1096"/>
      <c r="N256" s="1096"/>
      <c r="O256" s="803" t="s">
        <v>2865</v>
      </c>
      <c r="P256" s="1574" t="s">
        <v>3981</v>
      </c>
      <c r="Q256" s="232"/>
      <c r="AE256" s="809"/>
      <c r="AF256" s="809"/>
    </row>
    <row r="257" spans="1:256" s="661" customFormat="1" ht="22.9" customHeight="1">
      <c r="B257" s="192" t="s">
        <v>1145</v>
      </c>
      <c r="C257" s="1121" t="s">
        <v>2707</v>
      </c>
      <c r="D257" s="1006"/>
      <c r="E257" s="1006"/>
      <c r="F257" s="1006"/>
      <c r="G257" s="1006"/>
      <c r="H257" s="1006"/>
      <c r="I257" s="1006"/>
      <c r="J257" s="1006"/>
      <c r="K257" s="1006"/>
      <c r="L257" s="1006"/>
      <c r="M257" s="1006"/>
      <c r="N257" s="1006"/>
      <c r="O257" s="219" t="s">
        <v>1145</v>
      </c>
      <c r="P257" s="1598" t="s">
        <v>3981</v>
      </c>
      <c r="Q257" s="354"/>
      <c r="AE257" s="808"/>
      <c r="AF257" s="808"/>
    </row>
    <row r="258" spans="1:256" s="199" customFormat="1" ht="12" customHeight="1">
      <c r="B258" s="55" t="s">
        <v>3004</v>
      </c>
      <c r="C258" s="38" t="s">
        <v>2708</v>
      </c>
      <c r="D258" s="732"/>
      <c r="E258" s="732"/>
      <c r="F258" s="732"/>
      <c r="G258" s="732"/>
      <c r="H258" s="732"/>
      <c r="I258" s="732"/>
      <c r="J258" s="732"/>
      <c r="K258" s="732"/>
      <c r="L258" s="732"/>
      <c r="M258" s="732"/>
      <c r="N258" s="731"/>
      <c r="O258" s="803" t="s">
        <v>3004</v>
      </c>
      <c r="P258" s="1574" t="s">
        <v>3981</v>
      </c>
      <c r="Q258" s="232"/>
      <c r="AE258" s="807"/>
      <c r="AF258" s="807"/>
    </row>
    <row r="259" spans="1:256" s="661" customFormat="1" ht="24.75" customHeight="1">
      <c r="B259" s="192" t="s">
        <v>2588</v>
      </c>
      <c r="C259" s="1121" t="s">
        <v>3846</v>
      </c>
      <c r="D259" s="1006"/>
      <c r="E259" s="1006"/>
      <c r="F259" s="1006"/>
      <c r="G259" s="1006"/>
      <c r="H259" s="1006"/>
      <c r="I259" s="1006"/>
      <c r="J259" s="1006"/>
      <c r="K259" s="1006"/>
      <c r="L259" s="1006"/>
      <c r="M259" s="1006"/>
      <c r="N259" s="1006"/>
      <c r="O259" s="219" t="s">
        <v>2588</v>
      </c>
      <c r="P259" s="1598" t="s">
        <v>3981</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578" t="s">
        <v>4064</v>
      </c>
      <c r="B261" s="1579"/>
      <c r="C261" s="1579"/>
      <c r="D261" s="1579"/>
      <c r="E261" s="1579"/>
      <c r="F261" s="1579"/>
      <c r="G261" s="1579"/>
      <c r="H261" s="1579"/>
      <c r="I261" s="1579"/>
      <c r="J261" s="1579"/>
      <c r="K261" s="1579"/>
      <c r="L261" s="1579"/>
      <c r="M261" s="1579"/>
      <c r="N261" s="1579"/>
      <c r="O261" s="1579"/>
      <c r="P261" s="1579"/>
      <c r="Q261" s="1580"/>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3805</v>
      </c>
      <c r="C264" s="11"/>
      <c r="D264" s="11"/>
      <c r="E264" s="11"/>
      <c r="F264" s="11"/>
      <c r="G264" s="11"/>
      <c r="H264" s="855"/>
      <c r="I264" s="855"/>
      <c r="J264" s="855"/>
      <c r="K264" s="855"/>
      <c r="L264" s="855"/>
      <c r="M264" s="855"/>
      <c r="O264" s="181" t="s">
        <v>2739</v>
      </c>
      <c r="P264" s="1118"/>
      <c r="Q264" s="1119"/>
    </row>
    <row r="265" spans="1:256" ht="11.45" customHeight="1">
      <c r="B265" s="195" t="s">
        <v>3163</v>
      </c>
      <c r="P265" s="1574" t="s">
        <v>3981</v>
      </c>
      <c r="Q265" s="232"/>
    </row>
    <row r="266" spans="1:256" ht="12" customHeight="1">
      <c r="B266" s="197" t="s">
        <v>3111</v>
      </c>
      <c r="C266" s="197"/>
      <c r="D266" s="197"/>
      <c r="E266" s="197"/>
      <c r="F266" s="197"/>
      <c r="G266" s="197"/>
      <c r="H266" s="197"/>
      <c r="I266" s="197"/>
      <c r="J266" s="197"/>
      <c r="K266" s="197"/>
      <c r="L266" s="197"/>
      <c r="P266" s="1574" t="s">
        <v>3981</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3937</v>
      </c>
      <c r="D268" s="1121"/>
      <c r="E268" s="1121"/>
      <c r="F268" s="1121"/>
      <c r="G268" s="1121"/>
      <c r="H268" s="1121"/>
      <c r="I268" s="1121"/>
      <c r="J268" s="1121"/>
      <c r="K268" s="1121"/>
      <c r="L268" s="1121"/>
      <c r="M268" s="1121"/>
      <c r="N268" s="1121"/>
      <c r="O268" s="219" t="s">
        <v>2862</v>
      </c>
      <c r="P268" s="1598" t="s">
        <v>3981</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19" t="s">
        <v>2027</v>
      </c>
      <c r="H271" s="1620"/>
      <c r="I271" s="1620"/>
      <c r="J271" s="1620"/>
      <c r="K271" s="1620"/>
      <c r="L271" s="1620"/>
      <c r="M271" s="1620"/>
      <c r="N271" s="1621"/>
      <c r="O271" s="298" t="s">
        <v>2590</v>
      </c>
      <c r="P271" s="1598" t="s">
        <v>3981</v>
      </c>
      <c r="Q271" s="354"/>
    </row>
    <row r="272" spans="1:256" ht="23.25" customHeight="1">
      <c r="A272" s="194"/>
      <c r="C272" s="294" t="s">
        <v>2591</v>
      </c>
      <c r="D272" s="1110" t="s">
        <v>1648</v>
      </c>
      <c r="E272" s="1111"/>
      <c r="F272" s="1112"/>
      <c r="G272" s="1578" t="s">
        <v>3787</v>
      </c>
      <c r="H272" s="1446"/>
      <c r="I272" s="1446"/>
      <c r="J272" s="1446"/>
      <c r="K272" s="1446"/>
      <c r="L272" s="1446"/>
      <c r="M272" s="1446"/>
      <c r="N272" s="1447"/>
      <c r="O272" s="298" t="s">
        <v>2591</v>
      </c>
      <c r="P272" s="1598" t="s">
        <v>3981</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3834</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2"/>
      <c r="E275" s="1623"/>
      <c r="F275" s="1623"/>
      <c r="G275" s="1623"/>
      <c r="H275" s="1623"/>
      <c r="I275" s="1623"/>
      <c r="J275" s="1623"/>
      <c r="K275" s="1623"/>
      <c r="L275" s="1623"/>
      <c r="M275" s="1623"/>
      <c r="N275" s="1624"/>
      <c r="O275" s="298" t="s">
        <v>2590</v>
      </c>
      <c r="P275" s="1598"/>
      <c r="Q275" s="354"/>
      <c r="AE275" s="806"/>
      <c r="AF275" s="806"/>
    </row>
    <row r="276" spans="1:256" s="182" customFormat="1" ht="11.25" customHeight="1">
      <c r="A276" s="194"/>
      <c r="C276" s="294" t="s">
        <v>2591</v>
      </c>
      <c r="D276" s="1622"/>
      <c r="E276" s="1623"/>
      <c r="F276" s="1623"/>
      <c r="G276" s="1623"/>
      <c r="H276" s="1623"/>
      <c r="I276" s="1623"/>
      <c r="J276" s="1623"/>
      <c r="K276" s="1623"/>
      <c r="L276" s="1623"/>
      <c r="M276" s="1623"/>
      <c r="N276" s="1624"/>
      <c r="O276" s="298" t="s">
        <v>2591</v>
      </c>
      <c r="P276" s="1598"/>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78" t="s">
        <v>4065</v>
      </c>
      <c r="B279" s="1579"/>
      <c r="C279" s="1579"/>
      <c r="D279" s="1579"/>
      <c r="E279" s="1579"/>
      <c r="F279" s="1579"/>
      <c r="G279" s="1579"/>
      <c r="H279" s="1579"/>
      <c r="I279" s="1579"/>
      <c r="J279" s="1579"/>
      <c r="K279" s="1579"/>
      <c r="L279" s="1579"/>
      <c r="M279" s="1579"/>
      <c r="N279" s="1579"/>
      <c r="O279" s="1579"/>
      <c r="P279" s="1579"/>
      <c r="Q279" s="1580"/>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3806</v>
      </c>
      <c r="C283" s="856"/>
      <c r="D283" s="855"/>
      <c r="E283" s="855"/>
      <c r="F283" s="855"/>
      <c r="G283" s="855"/>
      <c r="H283" s="855"/>
      <c r="O283" s="181" t="s">
        <v>2739</v>
      </c>
      <c r="P283" s="1116"/>
      <c r="Q283" s="1117"/>
    </row>
    <row r="284" spans="1:256" ht="3" customHeight="1"/>
    <row r="285" spans="1:256" ht="11.45" customHeight="1">
      <c r="B285" s="195" t="s">
        <v>3283</v>
      </c>
      <c r="P285" s="1574" t="s">
        <v>3981</v>
      </c>
      <c r="Q285" s="232"/>
    </row>
    <row r="286" spans="1:256" ht="11.45" customHeight="1">
      <c r="B286" s="195" t="s">
        <v>3284</v>
      </c>
      <c r="P286" s="1574" t="s">
        <v>3981</v>
      </c>
      <c r="Q286" s="232"/>
    </row>
    <row r="287" spans="1:256" ht="11.45" customHeight="1">
      <c r="B287" s="195" t="s">
        <v>850</v>
      </c>
      <c r="L287" s="1625" t="s">
        <v>4087</v>
      </c>
      <c r="M287" s="1626"/>
      <c r="N287" s="1626"/>
      <c r="O287" s="1627"/>
    </row>
    <row r="288" spans="1:256" ht="11.45" customHeight="1">
      <c r="B288" s="653" t="s">
        <v>3285</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39.75" customHeight="1">
      <c r="A290" s="1578" t="s">
        <v>4088</v>
      </c>
      <c r="B290" s="1579"/>
      <c r="C290" s="1579"/>
      <c r="D290" s="1579"/>
      <c r="E290" s="1579"/>
      <c r="F290" s="1579"/>
      <c r="G290" s="1579"/>
      <c r="H290" s="1579"/>
      <c r="I290" s="1579"/>
      <c r="J290" s="1579"/>
      <c r="K290" s="1579"/>
      <c r="L290" s="1579"/>
      <c r="M290" s="1579"/>
      <c r="N290" s="1579"/>
      <c r="O290" s="1579"/>
      <c r="P290" s="1579"/>
      <c r="Q290" s="1580"/>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3807</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3835</v>
      </c>
      <c r="D296" s="1125"/>
      <c r="E296" s="1125"/>
      <c r="F296" s="1125"/>
      <c r="G296" s="1125"/>
      <c r="H296" s="1125"/>
      <c r="I296" s="1125"/>
      <c r="J296" s="1125"/>
      <c r="K296" s="1125"/>
      <c r="L296" s="1125"/>
      <c r="M296" s="1125"/>
      <c r="N296" s="1125"/>
      <c r="O296" s="219" t="s">
        <v>2862</v>
      </c>
      <c r="P296" s="1574" t="s">
        <v>3981</v>
      </c>
      <c r="Q296" s="232"/>
    </row>
    <row r="297" spans="1:31" ht="11.45" customHeight="1">
      <c r="B297" s="192" t="s">
        <v>2865</v>
      </c>
      <c r="C297" s="1125" t="s">
        <v>3891</v>
      </c>
      <c r="D297" s="1125"/>
      <c r="E297" s="1125"/>
      <c r="F297" s="1125"/>
      <c r="G297" s="1125"/>
      <c r="H297" s="1125"/>
      <c r="I297" s="1125"/>
      <c r="J297" s="1125"/>
      <c r="K297" s="1125"/>
      <c r="L297" s="1125"/>
      <c r="M297" s="1125"/>
      <c r="N297" s="1125"/>
      <c r="O297" s="219" t="s">
        <v>2865</v>
      </c>
      <c r="P297" s="1574" t="s">
        <v>3981</v>
      </c>
      <c r="Q297" s="232"/>
    </row>
    <row r="298" spans="1:31" ht="11.45" customHeight="1">
      <c r="B298" s="192" t="s">
        <v>1145</v>
      </c>
      <c r="C298" s="197" t="s">
        <v>3836</v>
      </c>
      <c r="D298" s="197"/>
      <c r="E298" s="197"/>
      <c r="F298" s="197"/>
      <c r="G298" s="197"/>
      <c r="H298" s="197"/>
      <c r="I298" s="197"/>
      <c r="J298" s="197"/>
      <c r="K298" s="197"/>
      <c r="L298" s="197"/>
      <c r="M298" s="197"/>
      <c r="O298" s="219" t="s">
        <v>1145</v>
      </c>
      <c r="P298" s="1574" t="s">
        <v>3981</v>
      </c>
      <c r="Q298" s="232"/>
    </row>
    <row r="299" spans="1:31" ht="22.15" customHeight="1">
      <c r="B299" s="192" t="s">
        <v>3004</v>
      </c>
      <c r="C299" s="1125" t="s">
        <v>3870</v>
      </c>
      <c r="D299" s="1125"/>
      <c r="E299" s="1125"/>
      <c r="F299" s="1125"/>
      <c r="G299" s="1125"/>
      <c r="H299" s="1125"/>
      <c r="I299" s="1125"/>
      <c r="J299" s="1125"/>
      <c r="K299" s="1125"/>
      <c r="L299" s="1125"/>
      <c r="M299" s="1125"/>
      <c r="N299" s="1125"/>
      <c r="O299" s="219" t="s">
        <v>3004</v>
      </c>
      <c r="P299" s="1574" t="s">
        <v>3981</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31.5" customHeight="1">
      <c r="A301" s="1578" t="s">
        <v>4104</v>
      </c>
      <c r="B301" s="1579"/>
      <c r="C301" s="1579"/>
      <c r="D301" s="1579"/>
      <c r="E301" s="1579"/>
      <c r="F301" s="1579"/>
      <c r="G301" s="1579"/>
      <c r="H301" s="1579"/>
      <c r="I301" s="1579"/>
      <c r="J301" s="1579"/>
      <c r="K301" s="1579"/>
      <c r="L301" s="1579"/>
      <c r="M301" s="1579"/>
      <c r="N301" s="1579"/>
      <c r="O301" s="1579"/>
      <c r="P301" s="1579"/>
      <c r="Q301" s="1580"/>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3877</v>
      </c>
      <c r="C305" s="5"/>
      <c r="D305" s="5"/>
      <c r="E305" s="5"/>
      <c r="F305" s="5"/>
      <c r="G305" s="5"/>
      <c r="H305" s="855"/>
      <c r="I305" s="855"/>
      <c r="J305" s="855"/>
      <c r="K305" s="855"/>
      <c r="L305" s="855"/>
      <c r="M305" s="855"/>
      <c r="O305" s="181" t="s">
        <v>2739</v>
      </c>
      <c r="P305" s="1116"/>
      <c r="Q305" s="1117"/>
    </row>
    <row r="306" spans="1:32" ht="12" customHeight="1">
      <c r="B306" s="55" t="s">
        <v>2862</v>
      </c>
      <c r="C306" s="161" t="s">
        <v>3872</v>
      </c>
      <c r="D306" s="861"/>
      <c r="E306" s="861"/>
      <c r="F306" s="861"/>
      <c r="G306" s="861"/>
      <c r="H306" s="861"/>
      <c r="I306" s="50"/>
      <c r="J306" s="803" t="s">
        <v>2862</v>
      </c>
      <c r="K306" s="1587" t="s">
        <v>3994</v>
      </c>
      <c r="L306" s="1588"/>
      <c r="M306" s="1588"/>
      <c r="N306" s="1588"/>
      <c r="O306" s="1588"/>
      <c r="P306" s="1606"/>
      <c r="Q306" s="232"/>
    </row>
    <row r="307" spans="1:32" ht="22.5" customHeight="1">
      <c r="B307" s="192" t="s">
        <v>2865</v>
      </c>
      <c r="C307" s="1096" t="s">
        <v>3871</v>
      </c>
      <c r="D307" s="1096"/>
      <c r="E307" s="1096"/>
      <c r="F307" s="1096"/>
      <c r="G307" s="1096"/>
      <c r="H307" s="1096"/>
      <c r="I307" s="1096"/>
      <c r="J307" s="1096"/>
      <c r="K307" s="1096"/>
      <c r="L307" s="1096"/>
      <c r="M307" s="1096"/>
      <c r="N307" s="1096"/>
      <c r="O307" s="219" t="s">
        <v>2865</v>
      </c>
      <c r="P307" s="1598" t="s">
        <v>3981</v>
      </c>
      <c r="Q307" s="232"/>
    </row>
    <row r="308" spans="1:32" ht="11.45" customHeight="1">
      <c r="B308" s="55" t="s">
        <v>1145</v>
      </c>
      <c r="C308" s="62" t="s">
        <v>3873</v>
      </c>
      <c r="D308" s="62"/>
      <c r="E308" s="62"/>
      <c r="F308" s="62"/>
      <c r="G308" s="62"/>
      <c r="H308" s="62"/>
      <c r="I308" s="62"/>
      <c r="J308" s="62"/>
      <c r="K308" s="62"/>
      <c r="L308" s="38"/>
      <c r="M308" s="38"/>
      <c r="O308" s="803" t="s">
        <v>1145</v>
      </c>
      <c r="P308" s="1574" t="s">
        <v>3981</v>
      </c>
      <c r="Q308" s="232"/>
    </row>
    <row r="309" spans="1:32" ht="11.45" customHeight="1">
      <c r="B309" s="55" t="s">
        <v>3004</v>
      </c>
      <c r="C309" s="62" t="s">
        <v>3874</v>
      </c>
      <c r="D309" s="62"/>
      <c r="E309" s="62"/>
      <c r="F309" s="62"/>
      <c r="G309" s="62"/>
      <c r="H309" s="62"/>
      <c r="I309" s="62"/>
      <c r="J309" s="62"/>
      <c r="K309" s="62"/>
      <c r="L309" s="62"/>
      <c r="M309" s="62"/>
      <c r="O309" s="803" t="s">
        <v>3004</v>
      </c>
      <c r="P309" s="1574" t="s">
        <v>3981</v>
      </c>
      <c r="Q309" s="232"/>
    </row>
    <row r="310" spans="1:32" s="182" customFormat="1" ht="11.45" customHeight="1">
      <c r="B310" s="192" t="s">
        <v>2588</v>
      </c>
      <c r="C310" s="1125" t="s">
        <v>3879</v>
      </c>
      <c r="D310" s="1125"/>
      <c r="E310" s="1125"/>
      <c r="F310" s="1125"/>
      <c r="G310" s="1125"/>
      <c r="H310" s="1125"/>
      <c r="I310" s="1125"/>
      <c r="J310" s="1125"/>
      <c r="K310" s="1125"/>
      <c r="L310" s="1125"/>
      <c r="M310" s="1125"/>
      <c r="N310" s="1125"/>
      <c r="O310" s="219" t="s">
        <v>2588</v>
      </c>
      <c r="P310" s="1598" t="s">
        <v>3981</v>
      </c>
      <c r="Q310" s="354"/>
      <c r="AE310" s="806"/>
      <c r="AF310" s="806"/>
    </row>
    <row r="311" spans="1:32" s="182" customFormat="1" ht="11.45" customHeight="1">
      <c r="B311" s="192" t="s">
        <v>2589</v>
      </c>
      <c r="C311" s="1125" t="s">
        <v>3892</v>
      </c>
      <c r="D311" s="1125"/>
      <c r="E311" s="1125"/>
      <c r="F311" s="1125"/>
      <c r="G311" s="1125"/>
      <c r="H311" s="1125"/>
      <c r="I311" s="1125"/>
      <c r="J311" s="1125"/>
      <c r="K311" s="1125"/>
      <c r="L311" s="1125"/>
      <c r="M311" s="1125"/>
      <c r="N311" s="1125"/>
      <c r="O311" s="219" t="s">
        <v>2589</v>
      </c>
      <c r="P311" s="1598" t="s">
        <v>3981</v>
      </c>
      <c r="Q311" s="354"/>
      <c r="AE311" s="806"/>
      <c r="AF311" s="806"/>
    </row>
    <row r="312" spans="1:32" ht="11.45" customHeight="1">
      <c r="B312" s="55" t="s">
        <v>2825</v>
      </c>
      <c r="C312" s="62" t="s">
        <v>3875</v>
      </c>
      <c r="D312" s="62"/>
      <c r="E312" s="62"/>
      <c r="F312" s="62"/>
      <c r="G312" s="62"/>
      <c r="H312" s="62"/>
      <c r="I312" s="62"/>
      <c r="J312" s="62"/>
      <c r="K312" s="62"/>
      <c r="L312" s="62"/>
      <c r="M312" s="62"/>
      <c r="O312" s="803" t="s">
        <v>2825</v>
      </c>
      <c r="P312" s="1574" t="s">
        <v>3981</v>
      </c>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24.75" customHeight="1">
      <c r="A314" s="1578" t="s">
        <v>4105</v>
      </c>
      <c r="B314" s="1579"/>
      <c r="C314" s="1579"/>
      <c r="D314" s="1579"/>
      <c r="E314" s="1579"/>
      <c r="F314" s="1579"/>
      <c r="G314" s="1579"/>
      <c r="H314" s="1579"/>
      <c r="I314" s="1579"/>
      <c r="J314" s="1579"/>
      <c r="K314" s="1579"/>
      <c r="L314" s="1579"/>
      <c r="M314" s="1579"/>
      <c r="N314" s="1579"/>
      <c r="O314" s="1579"/>
      <c r="P314" s="1579"/>
      <c r="Q314" s="1580"/>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3932</v>
      </c>
      <c r="C318" s="5"/>
      <c r="D318" s="5"/>
      <c r="E318" s="5"/>
      <c r="F318" s="5"/>
      <c r="G318" s="5"/>
      <c r="H318" s="855"/>
      <c r="I318" s="855"/>
      <c r="J318" s="855"/>
      <c r="O318" s="181" t="s">
        <v>2739</v>
      </c>
      <c r="P318" s="1116"/>
      <c r="Q318" s="1117"/>
    </row>
    <row r="319" spans="1:32" ht="13.9" customHeight="1">
      <c r="A319" s="856"/>
      <c r="B319" s="149" t="s">
        <v>3813</v>
      </c>
      <c r="C319" s="5"/>
      <c r="D319" s="5"/>
      <c r="E319" s="5"/>
      <c r="F319" s="5"/>
      <c r="G319" s="5"/>
      <c r="H319" s="855"/>
      <c r="I319" s="855"/>
      <c r="J319" s="855"/>
    </row>
    <row r="320" spans="1:32" ht="11.45" customHeight="1">
      <c r="B320" s="55" t="s">
        <v>2862</v>
      </c>
      <c r="C320" s="653" t="s">
        <v>3816</v>
      </c>
      <c r="D320" s="65"/>
      <c r="E320" s="861"/>
      <c r="F320" s="861"/>
      <c r="G320" s="861"/>
      <c r="H320" s="861"/>
      <c r="I320" s="50"/>
      <c r="O320" s="803" t="s">
        <v>2862</v>
      </c>
    </row>
    <row r="321" spans="2:32" s="182" customFormat="1" ht="21.75" customHeight="1">
      <c r="B321" s="192"/>
      <c r="C321" s="201" t="s">
        <v>2590</v>
      </c>
      <c r="D321" s="1171" t="s">
        <v>3814</v>
      </c>
      <c r="E321" s="1171"/>
      <c r="F321" s="1171"/>
      <c r="G321" s="1171"/>
      <c r="H321" s="1171"/>
      <c r="I321" s="1171"/>
      <c r="J321" s="1171"/>
      <c r="K321" s="1171"/>
      <c r="L321" s="1171"/>
      <c r="M321" s="1171"/>
      <c r="N321" s="1171"/>
      <c r="O321" s="201" t="s">
        <v>2590</v>
      </c>
      <c r="P321" s="1598"/>
      <c r="Q321" s="354"/>
      <c r="AE321" s="806"/>
      <c r="AF321" s="806"/>
    </row>
    <row r="322" spans="2:32" s="182" customFormat="1" ht="21.75" customHeight="1">
      <c r="C322" s="201" t="s">
        <v>2591</v>
      </c>
      <c r="D322" s="1121" t="s">
        <v>3815</v>
      </c>
      <c r="E322" s="1121"/>
      <c r="F322" s="1121"/>
      <c r="G322" s="1121"/>
      <c r="H322" s="1121"/>
      <c r="I322" s="1121"/>
      <c r="J322" s="1121"/>
      <c r="K322" s="1121"/>
      <c r="L322" s="1121"/>
      <c r="M322" s="1121"/>
      <c r="N322" s="1121"/>
      <c r="O322" s="201" t="s">
        <v>2591</v>
      </c>
      <c r="P322" s="1598"/>
      <c r="Q322" s="354"/>
      <c r="AE322" s="806"/>
      <c r="AF322" s="806"/>
    </row>
    <row r="323" spans="2:32" s="182" customFormat="1" ht="21.75" customHeight="1">
      <c r="B323" s="192"/>
      <c r="C323" s="201" t="s">
        <v>2592</v>
      </c>
      <c r="D323" s="1121" t="s">
        <v>3818</v>
      </c>
      <c r="E323" s="1121"/>
      <c r="F323" s="1121"/>
      <c r="G323" s="1121"/>
      <c r="H323" s="1121"/>
      <c r="I323" s="1121"/>
      <c r="J323" s="1121"/>
      <c r="K323" s="1121"/>
      <c r="L323" s="1121"/>
      <c r="M323" s="1121"/>
      <c r="N323" s="1121"/>
      <c r="O323" s="201" t="s">
        <v>2592</v>
      </c>
      <c r="P323" s="1598"/>
      <c r="Q323" s="354"/>
      <c r="AE323" s="806"/>
      <c r="AF323" s="806"/>
    </row>
    <row r="324" spans="2:32" s="182" customFormat="1" ht="22.15" customHeight="1">
      <c r="B324" s="192"/>
      <c r="C324" s="201" t="s">
        <v>3330</v>
      </c>
      <c r="D324" s="1121" t="s">
        <v>3819</v>
      </c>
      <c r="E324" s="1121"/>
      <c r="F324" s="1121"/>
      <c r="G324" s="1121"/>
      <c r="H324" s="1121"/>
      <c r="I324" s="1121"/>
      <c r="J324" s="1121"/>
      <c r="K324" s="1121"/>
      <c r="L324" s="1121"/>
      <c r="M324" s="1121"/>
      <c r="N324" s="1121"/>
      <c r="O324" s="201" t="s">
        <v>3330</v>
      </c>
      <c r="P324" s="1598"/>
      <c r="Q324" s="354"/>
      <c r="AE324" s="806"/>
      <c r="AF324" s="806"/>
    </row>
    <row r="325" spans="2:32" s="182" customFormat="1" ht="21.75" customHeight="1">
      <c r="B325" s="192"/>
      <c r="C325" s="201" t="s">
        <v>2153</v>
      </c>
      <c r="D325" s="1121" t="s">
        <v>3820</v>
      </c>
      <c r="E325" s="1121"/>
      <c r="F325" s="1121"/>
      <c r="G325" s="1121"/>
      <c r="H325" s="1121"/>
      <c r="I325" s="1121"/>
      <c r="J325" s="1121"/>
      <c r="K325" s="1121"/>
      <c r="L325" s="1121"/>
      <c r="M325" s="1121"/>
      <c r="N325" s="1121"/>
      <c r="O325" s="201" t="s">
        <v>2153</v>
      </c>
      <c r="P325" s="159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3817</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3821</v>
      </c>
      <c r="E328" s="699"/>
      <c r="F328" s="699"/>
      <c r="G328" s="699"/>
      <c r="H328" s="699"/>
      <c r="I328" s="699"/>
      <c r="J328" s="699"/>
      <c r="K328" s="699"/>
      <c r="L328" s="699"/>
      <c r="M328" s="699"/>
      <c r="N328" s="729"/>
      <c r="P328" s="79" t="s">
        <v>2590</v>
      </c>
      <c r="Q328" s="232"/>
    </row>
    <row r="329" spans="2:32" ht="11.25" customHeight="1">
      <c r="B329" s="55"/>
      <c r="C329" s="79" t="s">
        <v>2591</v>
      </c>
      <c r="D329" s="184" t="s">
        <v>3822</v>
      </c>
      <c r="E329" s="184"/>
      <c r="F329" s="184"/>
      <c r="G329" s="184"/>
      <c r="H329" s="184"/>
      <c r="I329" s="44"/>
      <c r="J329" s="729"/>
      <c r="K329" s="729"/>
      <c r="L329" s="729"/>
      <c r="M329" s="729"/>
      <c r="N329" s="729"/>
      <c r="P329" s="79" t="s">
        <v>2591</v>
      </c>
      <c r="Q329" s="232"/>
    </row>
    <row r="330" spans="2:32" ht="11.25" customHeight="1">
      <c r="B330" s="55"/>
      <c r="C330" s="79" t="s">
        <v>2592</v>
      </c>
      <c r="D330" s="62" t="s">
        <v>3823</v>
      </c>
      <c r="E330" s="62"/>
      <c r="F330" s="62"/>
      <c r="G330" s="62"/>
      <c r="H330" s="62"/>
      <c r="I330" s="62"/>
      <c r="J330" s="62"/>
      <c r="K330" s="62"/>
      <c r="L330" s="38"/>
      <c r="M330" s="38"/>
      <c r="N330" s="729"/>
      <c r="P330" s="79" t="s">
        <v>2592</v>
      </c>
      <c r="Q330" s="232"/>
    </row>
    <row r="331" spans="2:32" ht="11.25" customHeight="1">
      <c r="B331" s="55"/>
      <c r="C331" s="79" t="s">
        <v>3330</v>
      </c>
      <c r="D331" s="62" t="s">
        <v>3824</v>
      </c>
      <c r="E331" s="62"/>
      <c r="F331" s="62"/>
      <c r="G331" s="62"/>
      <c r="H331" s="62"/>
      <c r="I331" s="62"/>
      <c r="J331" s="62"/>
      <c r="K331" s="62"/>
      <c r="L331" s="62"/>
      <c r="M331" s="62"/>
      <c r="N331" s="62"/>
      <c r="P331" s="79" t="s">
        <v>3330</v>
      </c>
      <c r="Q331" s="232"/>
    </row>
    <row r="332" spans="2:32" ht="11.25" customHeight="1">
      <c r="B332" s="55"/>
      <c r="C332" s="79" t="s">
        <v>2153</v>
      </c>
      <c r="D332" s="62" t="s">
        <v>3825</v>
      </c>
      <c r="E332" s="62"/>
      <c r="F332" s="62"/>
      <c r="G332" s="62"/>
      <c r="H332" s="62"/>
      <c r="I332" s="62"/>
      <c r="J332" s="62"/>
      <c r="K332" s="62"/>
      <c r="L332" s="62"/>
      <c r="M332" s="62"/>
      <c r="N332" s="62"/>
      <c r="P332" s="79" t="s">
        <v>2153</v>
      </c>
      <c r="Q332" s="232"/>
    </row>
    <row r="333" spans="2:32" ht="11.25" customHeight="1">
      <c r="B333" s="192"/>
      <c r="C333" s="803" t="s">
        <v>2154</v>
      </c>
      <c r="D333" s="190" t="s">
        <v>3826</v>
      </c>
      <c r="E333" s="190"/>
      <c r="F333" s="190"/>
      <c r="G333" s="190"/>
      <c r="H333" s="190"/>
      <c r="I333" s="190"/>
      <c r="J333" s="190"/>
      <c r="K333" s="190"/>
      <c r="L333" s="190"/>
      <c r="M333" s="190"/>
      <c r="N333" s="190"/>
      <c r="P333" s="803" t="s">
        <v>2154</v>
      </c>
      <c r="Q333" s="232"/>
    </row>
    <row r="334" spans="2:32" ht="11.25" customHeight="1">
      <c r="B334" s="192"/>
      <c r="C334" s="803" t="s">
        <v>107</v>
      </c>
      <c r="D334" s="62" t="s">
        <v>3827</v>
      </c>
      <c r="E334" s="62"/>
      <c r="F334" s="62"/>
      <c r="G334" s="62"/>
      <c r="H334" s="62"/>
      <c r="I334" s="62"/>
      <c r="J334" s="62"/>
      <c r="K334" s="62"/>
      <c r="L334" s="62"/>
      <c r="M334" s="62"/>
      <c r="N334" s="62"/>
      <c r="P334" s="803" t="s">
        <v>107</v>
      </c>
      <c r="Q334" s="232"/>
    </row>
    <row r="335" spans="2:32" ht="11.25" customHeight="1">
      <c r="B335" s="55"/>
      <c r="C335" s="803" t="s">
        <v>743</v>
      </c>
      <c r="D335" s="699" t="s">
        <v>3828</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78"/>
      <c r="B337" s="1579"/>
      <c r="C337" s="1579"/>
      <c r="D337" s="1579"/>
      <c r="E337" s="1579"/>
      <c r="F337" s="1579"/>
      <c r="G337" s="1579"/>
      <c r="H337" s="1579"/>
      <c r="I337" s="1579"/>
      <c r="J337" s="1579"/>
      <c r="K337" s="1579"/>
      <c r="L337" s="1579"/>
      <c r="M337" s="1579"/>
      <c r="N337" s="1579"/>
      <c r="O337" s="1579"/>
      <c r="P337" s="1579"/>
      <c r="Q337" s="1580"/>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3893</v>
      </c>
      <c r="C341" s="5"/>
      <c r="D341" s="5"/>
      <c r="E341" s="5"/>
      <c r="F341" s="5"/>
      <c r="G341" s="5"/>
      <c r="H341" s="855"/>
      <c r="I341" s="855"/>
      <c r="J341" s="855"/>
      <c r="O341" s="181" t="s">
        <v>2739</v>
      </c>
      <c r="P341" s="1116"/>
      <c r="Q341" s="1117"/>
    </row>
    <row r="342" spans="1:31" ht="11.45" customHeight="1">
      <c r="B342" s="55" t="s">
        <v>2862</v>
      </c>
      <c r="C342" s="161" t="s">
        <v>1543</v>
      </c>
      <c r="E342" s="1584"/>
      <c r="F342" s="1585"/>
      <c r="G342" s="1585"/>
      <c r="H342" s="1585"/>
      <c r="I342" s="1586"/>
      <c r="J342" s="1168" t="s">
        <v>3831</v>
      </c>
      <c r="K342" s="1169"/>
      <c r="L342" s="1170"/>
      <c r="M342" s="1584"/>
      <c r="N342" s="1585"/>
      <c r="O342" s="1585"/>
      <c r="P342" s="1585"/>
      <c r="Q342" s="1586"/>
    </row>
    <row r="343" spans="1:31" ht="11.45" customHeight="1">
      <c r="B343" s="55" t="s">
        <v>2865</v>
      </c>
      <c r="C343" s="62" t="s">
        <v>2593</v>
      </c>
      <c r="D343" s="62"/>
      <c r="E343" s="62"/>
      <c r="F343" s="62"/>
      <c r="G343" s="62"/>
      <c r="H343" s="62"/>
      <c r="I343" s="62"/>
      <c r="J343" s="62"/>
      <c r="K343" s="62"/>
      <c r="L343" s="38"/>
      <c r="M343" s="38"/>
      <c r="O343" s="803" t="s">
        <v>2865</v>
      </c>
      <c r="P343" s="1574"/>
      <c r="Q343" s="232"/>
    </row>
    <row r="344" spans="1:31" ht="11.45" customHeight="1">
      <c r="B344" s="55" t="s">
        <v>1145</v>
      </c>
      <c r="C344" s="62" t="s">
        <v>2008</v>
      </c>
      <c r="D344" s="62"/>
      <c r="E344" s="62"/>
      <c r="F344" s="62"/>
      <c r="G344" s="62"/>
      <c r="H344" s="62"/>
      <c r="I344" s="62"/>
      <c r="J344" s="62"/>
      <c r="K344" s="62"/>
      <c r="L344" s="62"/>
      <c r="M344" s="62"/>
      <c r="O344" s="803" t="s">
        <v>1145</v>
      </c>
      <c r="P344" s="1574"/>
      <c r="Q344" s="232"/>
    </row>
    <row r="345" spans="1:31" ht="11.45" customHeight="1">
      <c r="B345" s="55" t="s">
        <v>3004</v>
      </c>
      <c r="C345" s="62" t="s">
        <v>3876</v>
      </c>
      <c r="D345" s="62"/>
      <c r="E345" s="62"/>
      <c r="F345" s="62"/>
      <c r="G345" s="62"/>
      <c r="H345" s="62"/>
      <c r="I345" s="62"/>
      <c r="J345" s="62"/>
      <c r="K345" s="62"/>
      <c r="L345" s="62"/>
      <c r="M345" s="62"/>
      <c r="O345" s="803" t="s">
        <v>3004</v>
      </c>
      <c r="P345" s="1574"/>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4"/>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8"/>
      <c r="Q347" s="232"/>
    </row>
    <row r="348" spans="1:31" ht="11.45" customHeight="1">
      <c r="B348" s="55" t="s">
        <v>2825</v>
      </c>
      <c r="C348" s="38" t="s">
        <v>792</v>
      </c>
      <c r="D348" s="203"/>
      <c r="E348" s="203"/>
      <c r="F348" s="203"/>
      <c r="G348" s="203"/>
      <c r="H348" s="203"/>
      <c r="I348" s="203"/>
      <c r="J348" s="203"/>
      <c r="K348" s="203"/>
      <c r="L348" s="203"/>
      <c r="M348" s="203"/>
      <c r="O348" s="803" t="s">
        <v>2825</v>
      </c>
      <c r="P348" s="1574"/>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78"/>
      <c r="B350" s="1579"/>
      <c r="C350" s="1579"/>
      <c r="D350" s="1579"/>
      <c r="E350" s="1579"/>
      <c r="F350" s="1579"/>
      <c r="G350" s="1579"/>
      <c r="H350" s="1579"/>
      <c r="I350" s="1579"/>
      <c r="J350" s="1579"/>
      <c r="K350" s="1579"/>
      <c r="L350" s="1579"/>
      <c r="M350" s="1579"/>
      <c r="N350" s="1579"/>
      <c r="O350" s="1579"/>
      <c r="P350" s="1579"/>
      <c r="Q350" s="1580"/>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3829</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28" t="s">
        <v>2626</v>
      </c>
      <c r="O355" s="1629"/>
      <c r="P355" s="1172" t="s">
        <v>2626</v>
      </c>
      <c r="Q355" s="1173"/>
      <c r="AE355" s="6"/>
      <c r="AF355" s="6"/>
    </row>
    <row r="356" spans="1:32" s="2" customFormat="1" ht="12" customHeight="1">
      <c r="B356" s="55" t="s">
        <v>2865</v>
      </c>
      <c r="C356" s="158" t="s">
        <v>1</v>
      </c>
      <c r="D356" s="203"/>
      <c r="E356" s="203"/>
      <c r="G356" s="803" t="s">
        <v>2865</v>
      </c>
      <c r="H356" s="1630"/>
      <c r="I356" s="1631"/>
      <c r="J356" s="1631"/>
      <c r="K356" s="1631"/>
      <c r="L356" s="1631"/>
      <c r="M356" s="1631"/>
      <c r="N356" s="1631"/>
      <c r="O356" s="1631"/>
      <c r="P356" s="163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4"/>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78"/>
      <c r="B359" s="1579"/>
      <c r="C359" s="1579"/>
      <c r="D359" s="1579"/>
      <c r="E359" s="1579"/>
      <c r="F359" s="1579"/>
      <c r="G359" s="1579"/>
      <c r="H359" s="1579"/>
      <c r="I359" s="1579"/>
      <c r="J359" s="1579"/>
      <c r="K359" s="1579"/>
      <c r="L359" s="1579"/>
      <c r="M359" s="1579"/>
      <c r="N359" s="1579"/>
      <c r="O359" s="1579"/>
      <c r="P359" s="1579"/>
      <c r="Q359" s="158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3808</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3837</v>
      </c>
      <c r="D365" s="727"/>
      <c r="E365" s="727"/>
      <c r="H365" s="190"/>
      <c r="O365" s="803" t="s">
        <v>2862</v>
      </c>
      <c r="P365" s="1574" t="s">
        <v>3981</v>
      </c>
      <c r="Q365" s="232"/>
    </row>
    <row r="366" spans="1:32" ht="12" customHeight="1">
      <c r="A366" s="194"/>
      <c r="B366" s="55" t="s">
        <v>2865</v>
      </c>
      <c r="C366" s="62" t="s">
        <v>3838</v>
      </c>
      <c r="D366" s="727"/>
      <c r="E366" s="727"/>
      <c r="O366" s="803" t="s">
        <v>2865</v>
      </c>
      <c r="P366" s="1574" t="s">
        <v>3979</v>
      </c>
      <c r="Q366" s="232"/>
    </row>
    <row r="367" spans="1:32" ht="12" customHeight="1">
      <c r="A367" s="194"/>
      <c r="B367" s="55" t="s">
        <v>1145</v>
      </c>
      <c r="C367" s="62" t="s">
        <v>3894</v>
      </c>
      <c r="D367" s="727"/>
      <c r="E367" s="727"/>
      <c r="O367" s="803" t="s">
        <v>1145</v>
      </c>
      <c r="P367" s="1574" t="s">
        <v>3981</v>
      </c>
      <c r="Q367" s="232"/>
    </row>
    <row r="368" spans="1:32" ht="12" customHeight="1">
      <c r="A368" s="194"/>
      <c r="B368" s="55" t="s">
        <v>3004</v>
      </c>
      <c r="C368" s="62" t="s">
        <v>3830</v>
      </c>
      <c r="E368" s="190"/>
      <c r="O368" s="803" t="s">
        <v>3004</v>
      </c>
      <c r="P368" s="1574" t="s">
        <v>3979</v>
      </c>
      <c r="Q368" s="232"/>
    </row>
    <row r="369" spans="1:31" ht="12" customHeight="1">
      <c r="B369" s="55" t="s">
        <v>2588</v>
      </c>
      <c r="C369" s="62" t="s">
        <v>2967</v>
      </c>
      <c r="E369" s="190"/>
      <c r="G369" s="803" t="s">
        <v>2588</v>
      </c>
      <c r="H369" s="1599"/>
      <c r="I369" s="1600"/>
      <c r="J369" s="1600"/>
      <c r="K369" s="1600"/>
      <c r="L369" s="1600"/>
      <c r="M369" s="1600"/>
      <c r="N369" s="1600"/>
      <c r="O369" s="1601"/>
      <c r="P369" s="1574"/>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78" t="s">
        <v>4089</v>
      </c>
      <c r="B371" s="1579"/>
      <c r="C371" s="1579"/>
      <c r="D371" s="1579"/>
      <c r="E371" s="1579"/>
      <c r="F371" s="1579"/>
      <c r="G371" s="1579"/>
      <c r="H371" s="1579"/>
      <c r="I371" s="1579"/>
      <c r="J371" s="1579"/>
      <c r="K371" s="1579"/>
      <c r="L371" s="1579"/>
      <c r="M371" s="1579"/>
      <c r="N371" s="1579"/>
      <c r="O371" s="1579"/>
      <c r="P371" s="1579"/>
      <c r="Q371" s="1580"/>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3809</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74" t="s">
        <v>4047</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74" t="s">
        <v>3981</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78"/>
      <c r="B379" s="1579"/>
      <c r="C379" s="1579"/>
      <c r="D379" s="1579"/>
      <c r="E379" s="1579"/>
      <c r="F379" s="1579"/>
      <c r="G379" s="1579"/>
      <c r="H379" s="1579"/>
      <c r="I379" s="1579"/>
      <c r="J379" s="1580"/>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3810</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74" t="s">
        <v>3979</v>
      </c>
      <c r="Q382" s="232"/>
    </row>
    <row r="383" spans="1:31" ht="12" customHeight="1">
      <c r="A383" s="50"/>
      <c r="B383" s="55" t="s">
        <v>2865</v>
      </c>
      <c r="C383" s="47" t="s">
        <v>3100</v>
      </c>
      <c r="D383" s="50"/>
      <c r="E383" s="50"/>
      <c r="F383" s="50"/>
      <c r="G383" s="50"/>
      <c r="H383" s="50"/>
      <c r="I383" s="50"/>
      <c r="J383" s="50"/>
      <c r="K383" s="50"/>
      <c r="L383" s="50"/>
      <c r="M383" s="50"/>
      <c r="N383" s="50"/>
      <c r="O383" s="803" t="s">
        <v>2030</v>
      </c>
      <c r="P383" s="1574"/>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3101</v>
      </c>
      <c r="D385" s="62"/>
      <c r="E385" s="62"/>
      <c r="F385" s="62"/>
      <c r="G385" s="62"/>
      <c r="H385" s="62"/>
      <c r="I385" s="62"/>
      <c r="J385" s="62"/>
      <c r="K385" s="62"/>
      <c r="L385" s="62"/>
      <c r="M385" s="62"/>
      <c r="N385" s="50"/>
      <c r="O385" s="803" t="s">
        <v>2591</v>
      </c>
      <c r="P385" s="1574"/>
      <c r="Q385" s="232"/>
    </row>
    <row r="386" spans="1:32" ht="12" customHeight="1">
      <c r="A386" s="50"/>
      <c r="B386" s="55" t="s">
        <v>1145</v>
      </c>
      <c r="C386" s="1096" t="s">
        <v>3099</v>
      </c>
      <c r="D386" s="1096"/>
      <c r="E386" s="1096"/>
      <c r="F386" s="1096"/>
      <c r="G386" s="1096"/>
      <c r="H386" s="1096"/>
      <c r="I386" s="1096"/>
      <c r="J386" s="1096"/>
      <c r="K386" s="1096"/>
      <c r="L386" s="1096"/>
      <c r="M386" s="1096"/>
      <c r="N386" s="1096"/>
      <c r="O386" s="803" t="s">
        <v>1145</v>
      </c>
      <c r="P386" s="1574"/>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3102</v>
      </c>
      <c r="D388" s="44"/>
      <c r="E388" s="50"/>
      <c r="F388" s="38"/>
      <c r="G388" s="1633"/>
      <c r="H388" s="662" t="s">
        <v>291</v>
      </c>
      <c r="J388" s="184" t="s">
        <v>3105</v>
      </c>
      <c r="K388" s="38"/>
      <c r="N388" s="1633"/>
      <c r="O388" s="662" t="s">
        <v>291</v>
      </c>
    </row>
    <row r="389" spans="1:32" ht="12" customHeight="1">
      <c r="A389" s="50"/>
      <c r="B389" s="55"/>
      <c r="C389" s="184" t="s">
        <v>3103</v>
      </c>
      <c r="D389" s="44"/>
      <c r="E389" s="50"/>
      <c r="F389" s="38"/>
      <c r="G389" s="1633"/>
      <c r="H389" s="662"/>
      <c r="J389" s="184" t="s">
        <v>3106</v>
      </c>
      <c r="K389" s="38"/>
      <c r="N389" s="1633"/>
      <c r="O389" s="662"/>
    </row>
    <row r="390" spans="1:32" ht="12" customHeight="1">
      <c r="A390" s="50"/>
      <c r="B390" s="55"/>
      <c r="C390" s="184" t="s">
        <v>3104</v>
      </c>
      <c r="D390" s="44"/>
      <c r="E390" s="50"/>
      <c r="F390" s="38"/>
      <c r="G390" s="1633"/>
      <c r="H390" s="662" t="s">
        <v>291</v>
      </c>
      <c r="K390" s="38"/>
      <c r="L390" s="38"/>
      <c r="M390" s="38"/>
      <c r="N390" s="50"/>
      <c r="O390" s="803"/>
    </row>
    <row r="391" spans="1:32" ht="12" customHeight="1">
      <c r="A391" s="50"/>
      <c r="B391" s="55" t="s">
        <v>2588</v>
      </c>
      <c r="C391" s="38" t="s">
        <v>3357</v>
      </c>
      <c r="D391" s="38"/>
      <c r="E391" s="38"/>
      <c r="F391" s="38"/>
      <c r="G391" s="38"/>
      <c r="J391" s="50"/>
      <c r="K391" s="38"/>
      <c r="L391" s="38"/>
      <c r="M391" s="38"/>
      <c r="N391" s="50"/>
      <c r="O391" s="803"/>
      <c r="P391" s="803"/>
      <c r="Q391" s="803"/>
    </row>
    <row r="392" spans="1:32" ht="12" customHeight="1">
      <c r="A392" s="50"/>
      <c r="B392" s="55"/>
      <c r="C392" s="697" t="s">
        <v>3107</v>
      </c>
      <c r="D392" s="38"/>
      <c r="E392" s="38"/>
      <c r="F392" s="38"/>
      <c r="G392" s="1574"/>
      <c r="H392" s="232"/>
      <c r="J392" s="697" t="s">
        <v>1705</v>
      </c>
      <c r="K392" s="38"/>
      <c r="N392" s="1574"/>
      <c r="O392" s="232"/>
    </row>
    <row r="393" spans="1:32" ht="12" customHeight="1">
      <c r="A393" s="50"/>
      <c r="B393" s="55"/>
      <c r="C393" s="697" t="s">
        <v>1704</v>
      </c>
      <c r="D393" s="38"/>
      <c r="E393" s="38"/>
      <c r="F393" s="38"/>
      <c r="G393" s="1574"/>
      <c r="H393" s="232"/>
      <c r="J393" s="697" t="s">
        <v>3165</v>
      </c>
      <c r="N393" s="1634"/>
      <c r="O393" s="1635"/>
      <c r="P393" s="1635"/>
      <c r="Q393" s="1636"/>
    </row>
    <row r="394" spans="1:32" ht="12" customHeight="1">
      <c r="B394" s="191" t="s">
        <v>2737</v>
      </c>
      <c r="D394" s="191"/>
      <c r="E394" s="191"/>
      <c r="F394" s="191"/>
      <c r="G394" s="191"/>
      <c r="H394" s="48"/>
      <c r="I394" s="180"/>
      <c r="J394" s="180"/>
      <c r="K394" s="180"/>
      <c r="P394" s="851"/>
      <c r="Q394" s="60"/>
    </row>
    <row r="395" spans="1:32" ht="25.5" customHeight="1">
      <c r="A395" s="1578" t="s">
        <v>4066</v>
      </c>
      <c r="B395" s="1579"/>
      <c r="C395" s="1579"/>
      <c r="D395" s="1579"/>
      <c r="E395" s="1579"/>
      <c r="F395" s="1579"/>
      <c r="G395" s="1579"/>
      <c r="H395" s="1579"/>
      <c r="I395" s="1579"/>
      <c r="J395" s="1579"/>
      <c r="K395" s="1579"/>
      <c r="L395" s="1579"/>
      <c r="M395" s="1579"/>
      <c r="N395" s="1579"/>
      <c r="O395" s="1579"/>
      <c r="P395" s="1579"/>
      <c r="Q395" s="1580"/>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3811</v>
      </c>
      <c r="C399" s="5"/>
      <c r="D399" s="115"/>
      <c r="E399" s="855"/>
      <c r="F399" s="855"/>
      <c r="G399" s="855"/>
      <c r="H399" s="855"/>
      <c r="O399" s="181" t="s">
        <v>2739</v>
      </c>
      <c r="P399" s="1116"/>
      <c r="Q399" s="1117"/>
    </row>
    <row r="400" spans="1:32" s="182" customFormat="1" ht="21.75" customHeight="1">
      <c r="B400" s="192" t="s">
        <v>2862</v>
      </c>
      <c r="C400" s="1162" t="s">
        <v>3880</v>
      </c>
      <c r="D400" s="1162"/>
      <c r="E400" s="1162"/>
      <c r="F400" s="1162"/>
      <c r="G400" s="1162"/>
      <c r="H400" s="1162"/>
      <c r="I400" s="1162"/>
      <c r="J400" s="1162"/>
      <c r="K400" s="1162"/>
      <c r="L400" s="1162"/>
      <c r="M400" s="1162"/>
      <c r="N400" s="1162"/>
      <c r="O400" s="219" t="s">
        <v>2862</v>
      </c>
      <c r="P400" s="1598" t="s">
        <v>4047</v>
      </c>
      <c r="Q400" s="354"/>
      <c r="AE400" s="806"/>
      <c r="AF400" s="806"/>
    </row>
    <row r="401" spans="1:32" s="182" customFormat="1" ht="25.5" customHeight="1">
      <c r="B401" s="192" t="s">
        <v>2865</v>
      </c>
      <c r="C401" s="1162" t="s">
        <v>3881</v>
      </c>
      <c r="D401" s="1162"/>
      <c r="E401" s="1162"/>
      <c r="F401" s="1162"/>
      <c r="G401" s="1162"/>
      <c r="H401" s="1162"/>
      <c r="I401" s="1162"/>
      <c r="J401" s="1162"/>
      <c r="K401" s="1162"/>
      <c r="L401" s="1162"/>
      <c r="M401" s="1162"/>
      <c r="N401" s="1162"/>
      <c r="O401" s="219" t="s">
        <v>2865</v>
      </c>
      <c r="P401" s="1598" t="s">
        <v>4047</v>
      </c>
      <c r="Q401" s="354"/>
      <c r="AE401" s="806"/>
      <c r="AF401" s="806"/>
    </row>
    <row r="402" spans="1:32" s="182" customFormat="1" ht="21.75" customHeight="1">
      <c r="B402" s="192" t="s">
        <v>1145</v>
      </c>
      <c r="C402" s="1162" t="s">
        <v>3882</v>
      </c>
      <c r="D402" s="1162"/>
      <c r="E402" s="1162"/>
      <c r="F402" s="1162"/>
      <c r="G402" s="1162"/>
      <c r="H402" s="1162"/>
      <c r="I402" s="1162"/>
      <c r="J402" s="1162"/>
      <c r="K402" s="1162"/>
      <c r="L402" s="1162"/>
      <c r="M402" s="1162"/>
      <c r="N402" s="1162"/>
      <c r="O402" s="219" t="s">
        <v>1145</v>
      </c>
      <c r="P402" s="1598" t="s">
        <v>4047</v>
      </c>
      <c r="Q402" s="354"/>
      <c r="AE402" s="806"/>
      <c r="AF402" s="806"/>
    </row>
    <row r="403" spans="1:32" s="182" customFormat="1" ht="33.75" customHeight="1">
      <c r="B403" s="192" t="s">
        <v>3004</v>
      </c>
      <c r="C403" s="1162" t="s">
        <v>3883</v>
      </c>
      <c r="D403" s="1162"/>
      <c r="E403" s="1162"/>
      <c r="F403" s="1162"/>
      <c r="G403" s="1162"/>
      <c r="H403" s="1162"/>
      <c r="I403" s="1162"/>
      <c r="J403" s="1162"/>
      <c r="K403" s="1162"/>
      <c r="L403" s="1162"/>
      <c r="M403" s="1162"/>
      <c r="N403" s="1162"/>
      <c r="O403" s="219" t="s">
        <v>3004</v>
      </c>
      <c r="P403" s="1598" t="s">
        <v>4047</v>
      </c>
      <c r="Q403" s="354"/>
      <c r="AE403" s="806"/>
      <c r="AF403" s="806"/>
    </row>
    <row r="404" spans="1:32" s="182" customFormat="1" ht="23.45" customHeight="1">
      <c r="B404" s="192" t="s">
        <v>2588</v>
      </c>
      <c r="C404" s="1162" t="s">
        <v>3884</v>
      </c>
      <c r="D404" s="1162"/>
      <c r="E404" s="1162"/>
      <c r="F404" s="1162"/>
      <c r="G404" s="1162"/>
      <c r="H404" s="1162"/>
      <c r="I404" s="1162"/>
      <c r="J404" s="1162"/>
      <c r="K404" s="1162"/>
      <c r="L404" s="1162"/>
      <c r="M404" s="1162"/>
      <c r="N404" s="1162"/>
      <c r="O404" s="219" t="s">
        <v>2588</v>
      </c>
      <c r="P404" s="1598" t="s">
        <v>4047</v>
      </c>
      <c r="Q404" s="354"/>
      <c r="AE404" s="806"/>
      <c r="AF404" s="806"/>
    </row>
    <row r="405" spans="1:32" s="182" customFormat="1" ht="21.75" customHeight="1">
      <c r="B405" s="192" t="s">
        <v>2589</v>
      </c>
      <c r="C405" s="1162" t="s">
        <v>3885</v>
      </c>
      <c r="D405" s="1162"/>
      <c r="E405" s="1162"/>
      <c r="F405" s="1162"/>
      <c r="G405" s="1162"/>
      <c r="H405" s="1162"/>
      <c r="I405" s="1162"/>
      <c r="J405" s="1162"/>
      <c r="K405" s="1162"/>
      <c r="L405" s="1162"/>
      <c r="M405" s="1162"/>
      <c r="N405" s="1162"/>
      <c r="O405" s="219" t="s">
        <v>2589</v>
      </c>
      <c r="P405" s="1598" t="s">
        <v>4047</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78" t="s">
        <v>4067</v>
      </c>
      <c r="B407" s="1579"/>
      <c r="C407" s="1579"/>
      <c r="D407" s="1579"/>
      <c r="E407" s="1579"/>
      <c r="F407" s="1579"/>
      <c r="G407" s="1579"/>
      <c r="H407" s="1579"/>
      <c r="I407" s="1579"/>
      <c r="J407" s="1579"/>
      <c r="K407" s="1579"/>
      <c r="L407" s="1579"/>
      <c r="M407" s="1579"/>
      <c r="N407" s="1579"/>
      <c r="O407" s="1579"/>
      <c r="P407" s="1579"/>
      <c r="Q407" s="1580"/>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3812</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27.75" customHeight="1">
      <c r="A413" s="1578" t="s">
        <v>4090</v>
      </c>
      <c r="B413" s="1579"/>
      <c r="C413" s="1579"/>
      <c r="D413" s="1579"/>
      <c r="E413" s="1579"/>
      <c r="F413" s="1579"/>
      <c r="G413" s="1579"/>
      <c r="H413" s="1579"/>
      <c r="I413" s="1579"/>
      <c r="J413" s="1579"/>
      <c r="K413" s="1579"/>
      <c r="L413" s="1579"/>
      <c r="M413" s="1579"/>
      <c r="N413" s="1579"/>
      <c r="O413" s="1579"/>
      <c r="P413" s="1579"/>
      <c r="Q413" s="1580"/>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7"/>
      <c r="B419" s="1637"/>
      <c r="C419" s="1637"/>
      <c r="D419" s="1637"/>
      <c r="E419" s="1637"/>
      <c r="F419" s="1637"/>
      <c r="G419" s="1637"/>
      <c r="H419" s="1637"/>
      <c r="I419" s="1637"/>
      <c r="J419" s="1637"/>
      <c r="K419" s="1637"/>
      <c r="L419" s="1637"/>
      <c r="M419" s="1637"/>
      <c r="N419" s="1637"/>
      <c r="O419" s="1637"/>
      <c r="P419" s="1637"/>
      <c r="Q419" s="1637"/>
      <c r="AE419" s="807"/>
      <c r="AF419" s="807"/>
    </row>
    <row r="420" spans="1:32" s="199" customFormat="1" ht="12" customHeight="1">
      <c r="A420" s="1637"/>
      <c r="B420" s="1637"/>
      <c r="C420" s="1637"/>
      <c r="D420" s="1637"/>
      <c r="E420" s="1637"/>
      <c r="F420" s="1637"/>
      <c r="G420" s="1637"/>
      <c r="H420" s="1637"/>
      <c r="I420" s="1637"/>
      <c r="J420" s="1637"/>
      <c r="K420" s="1637"/>
      <c r="L420" s="1637"/>
      <c r="M420" s="1637"/>
      <c r="N420" s="1637"/>
      <c r="O420" s="1637"/>
      <c r="P420" s="1637"/>
      <c r="Q420" s="1637"/>
      <c r="AE420" s="807"/>
      <c r="AF420" s="807"/>
    </row>
    <row r="421" spans="1:32" s="199" customFormat="1" ht="12" customHeight="1">
      <c r="A421" s="1637"/>
      <c r="B421" s="1637"/>
      <c r="C421" s="1637"/>
      <c r="D421" s="1637"/>
      <c r="E421" s="1637"/>
      <c r="F421" s="1637"/>
      <c r="G421" s="1637"/>
      <c r="H421" s="1637"/>
      <c r="I421" s="1637"/>
      <c r="J421" s="1637"/>
      <c r="K421" s="1637"/>
      <c r="L421" s="1637"/>
      <c r="M421" s="1637"/>
      <c r="N421" s="1637"/>
      <c r="O421" s="1637"/>
      <c r="P421" s="1637"/>
      <c r="Q421" s="1637"/>
      <c r="AE421" s="807"/>
      <c r="AF421" s="807"/>
    </row>
    <row r="422" spans="1:32" s="199" customFormat="1" ht="12" customHeight="1">
      <c r="A422" s="1637"/>
      <c r="B422" s="1637"/>
      <c r="C422" s="1637"/>
      <c r="D422" s="1637"/>
      <c r="E422" s="1637"/>
      <c r="F422" s="1637"/>
      <c r="G422" s="1637"/>
      <c r="H422" s="1637"/>
      <c r="I422" s="1637"/>
      <c r="J422" s="1637"/>
      <c r="K422" s="1637"/>
      <c r="L422" s="1637"/>
      <c r="M422" s="1637"/>
      <c r="N422" s="1637"/>
      <c r="O422" s="1637"/>
      <c r="P422" s="1637"/>
      <c r="Q422" s="1637"/>
      <c r="AE422" s="807"/>
      <c r="AF422" s="807"/>
    </row>
    <row r="423" spans="1:32" s="199" customFormat="1" ht="12" customHeight="1">
      <c r="A423" s="1637"/>
      <c r="B423" s="1637"/>
      <c r="C423" s="1637"/>
      <c r="D423" s="1637"/>
      <c r="E423" s="1637"/>
      <c r="F423" s="1637"/>
      <c r="G423" s="1637"/>
      <c r="H423" s="1637"/>
      <c r="I423" s="1637"/>
      <c r="J423" s="1637"/>
      <c r="K423" s="1637"/>
      <c r="L423" s="1637"/>
      <c r="M423" s="1637"/>
      <c r="N423" s="1637"/>
      <c r="O423" s="1637"/>
      <c r="P423" s="1637"/>
      <c r="Q423" s="1637"/>
      <c r="AE423" s="807"/>
      <c r="AF423" s="807"/>
    </row>
    <row r="424" spans="1:32" s="199" customFormat="1" ht="12" customHeight="1">
      <c r="A424" s="1637"/>
      <c r="B424" s="1637"/>
      <c r="C424" s="1637"/>
      <c r="D424" s="1637"/>
      <c r="E424" s="1637"/>
      <c r="F424" s="1637"/>
      <c r="G424" s="1637"/>
      <c r="H424" s="1637"/>
      <c r="I424" s="1637"/>
      <c r="J424" s="1637"/>
      <c r="K424" s="1637"/>
      <c r="L424" s="1637"/>
      <c r="M424" s="1637"/>
      <c r="N424" s="1637"/>
      <c r="O424" s="1637"/>
      <c r="P424" s="1637"/>
      <c r="Q424" s="1637"/>
      <c r="AE424" s="807"/>
      <c r="AF424" s="807"/>
    </row>
    <row r="425" spans="1:32" s="199" customFormat="1" ht="12" customHeight="1">
      <c r="A425" s="1637"/>
      <c r="B425" s="1637"/>
      <c r="C425" s="1637"/>
      <c r="D425" s="1637"/>
      <c r="E425" s="1637"/>
      <c r="F425" s="1637"/>
      <c r="G425" s="1637"/>
      <c r="H425" s="1637"/>
      <c r="I425" s="1637"/>
      <c r="J425" s="1637"/>
      <c r="K425" s="1637"/>
      <c r="L425" s="1637"/>
      <c r="M425" s="1637"/>
      <c r="N425" s="1637"/>
      <c r="O425" s="1637"/>
      <c r="P425" s="1637"/>
      <c r="Q425" s="1637"/>
      <c r="AE425" s="807"/>
      <c r="AF425" s="807"/>
    </row>
    <row r="426" spans="1:32" s="199" customFormat="1" ht="12" customHeight="1">
      <c r="A426" s="1637"/>
      <c r="B426" s="1637"/>
      <c r="C426" s="1637"/>
      <c r="D426" s="1637"/>
      <c r="E426" s="1637"/>
      <c r="F426" s="1637"/>
      <c r="G426" s="1637"/>
      <c r="H426" s="1637"/>
      <c r="I426" s="1637"/>
      <c r="J426" s="1637"/>
      <c r="K426" s="1637"/>
      <c r="L426" s="1637"/>
      <c r="M426" s="1637"/>
      <c r="N426" s="1637"/>
      <c r="O426" s="1637"/>
      <c r="P426" s="1637"/>
      <c r="Q426" s="1637"/>
      <c r="AE426" s="807"/>
      <c r="AF426" s="807"/>
    </row>
    <row r="427" spans="1:32" s="199" customFormat="1" ht="12" customHeight="1">
      <c r="A427" s="1637"/>
      <c r="B427" s="1637"/>
      <c r="C427" s="1637"/>
      <c r="D427" s="1637"/>
      <c r="E427" s="1637"/>
      <c r="F427" s="1637"/>
      <c r="G427" s="1637"/>
      <c r="H427" s="1637"/>
      <c r="I427" s="1637"/>
      <c r="J427" s="1637"/>
      <c r="K427" s="1637"/>
      <c r="L427" s="1637"/>
      <c r="M427" s="1637"/>
      <c r="N427" s="1637"/>
      <c r="O427" s="1637"/>
      <c r="P427" s="1637"/>
      <c r="Q427" s="1637"/>
      <c r="AE427" s="807"/>
      <c r="AF427" s="807"/>
    </row>
    <row r="428" spans="1:32" s="199" customFormat="1" ht="12" customHeight="1">
      <c r="A428" s="1637"/>
      <c r="B428" s="1637"/>
      <c r="C428" s="1637"/>
      <c r="D428" s="1637"/>
      <c r="E428" s="1637"/>
      <c r="F428" s="1637"/>
      <c r="G428" s="1637"/>
      <c r="H428" s="1637"/>
      <c r="I428" s="1637"/>
      <c r="J428" s="1637"/>
      <c r="K428" s="1637"/>
      <c r="L428" s="1637"/>
      <c r="M428" s="1637"/>
      <c r="N428" s="1637"/>
      <c r="O428" s="1637"/>
      <c r="P428" s="1637"/>
      <c r="Q428" s="1637"/>
      <c r="AE428" s="807"/>
      <c r="AF428" s="807"/>
    </row>
    <row r="429" spans="1:32" s="199" customFormat="1" ht="12" customHeight="1">
      <c r="A429" s="1637"/>
      <c r="B429" s="1637"/>
      <c r="C429" s="1637"/>
      <c r="D429" s="1637"/>
      <c r="E429" s="1637"/>
      <c r="F429" s="1637"/>
      <c r="G429" s="1637"/>
      <c r="H429" s="1637"/>
      <c r="I429" s="1637"/>
      <c r="J429" s="1637"/>
      <c r="K429" s="1637"/>
      <c r="L429" s="1637"/>
      <c r="M429" s="1637"/>
      <c r="N429" s="1637"/>
      <c r="O429" s="1637"/>
      <c r="P429" s="1637"/>
      <c r="Q429" s="1637"/>
      <c r="AE429" s="807"/>
      <c r="AF429" s="807"/>
    </row>
    <row r="430" spans="1:32" s="199" customFormat="1" ht="12" customHeight="1">
      <c r="A430" s="1637"/>
      <c r="B430" s="1637"/>
      <c r="C430" s="1637"/>
      <c r="D430" s="1637"/>
      <c r="E430" s="1637"/>
      <c r="F430" s="1637"/>
      <c r="G430" s="1637"/>
      <c r="H430" s="1637"/>
      <c r="I430" s="1637"/>
      <c r="J430" s="1637"/>
      <c r="K430" s="1637"/>
      <c r="L430" s="1637"/>
      <c r="M430" s="1637"/>
      <c r="N430" s="1637"/>
      <c r="O430" s="1637"/>
      <c r="P430" s="1637"/>
      <c r="Q430" s="1637"/>
      <c r="AE430" s="807"/>
      <c r="AF430" s="807"/>
    </row>
    <row r="431" spans="1:32" s="199" customFormat="1" ht="12" customHeight="1">
      <c r="A431" s="1637"/>
      <c r="B431" s="1637"/>
      <c r="C431" s="1637"/>
      <c r="D431" s="1637"/>
      <c r="E431" s="1637"/>
      <c r="F431" s="1637"/>
      <c r="G431" s="1637"/>
      <c r="H431" s="1637"/>
      <c r="I431" s="1637"/>
      <c r="J431" s="1637"/>
      <c r="K431" s="1637"/>
      <c r="L431" s="1637"/>
      <c r="M431" s="1637"/>
      <c r="N431" s="1637"/>
      <c r="O431" s="1637"/>
      <c r="P431" s="1637"/>
      <c r="Q431" s="1637"/>
      <c r="AE431" s="807"/>
      <c r="AF431" s="807"/>
    </row>
    <row r="432" spans="1:32" s="199" customFormat="1" ht="12" customHeight="1">
      <c r="A432" s="1637"/>
      <c r="B432" s="1637"/>
      <c r="C432" s="1637"/>
      <c r="D432" s="1637"/>
      <c r="E432" s="1637"/>
      <c r="F432" s="1637"/>
      <c r="G432" s="1637"/>
      <c r="H432" s="1637"/>
      <c r="I432" s="1637"/>
      <c r="J432" s="1637"/>
      <c r="K432" s="1637"/>
      <c r="L432" s="1637"/>
      <c r="M432" s="1637"/>
      <c r="N432" s="1637"/>
      <c r="O432" s="1637"/>
      <c r="P432" s="1637"/>
      <c r="Q432" s="1637"/>
      <c r="AE432" s="807"/>
      <c r="AF432" s="807"/>
    </row>
    <row r="433" spans="1:32" s="199" customFormat="1" ht="12" customHeight="1">
      <c r="A433" s="1637"/>
      <c r="B433" s="1637"/>
      <c r="C433" s="1637"/>
      <c r="D433" s="1637"/>
      <c r="E433" s="1637"/>
      <c r="F433" s="1637"/>
      <c r="G433" s="1637"/>
      <c r="H433" s="1637"/>
      <c r="I433" s="1637"/>
      <c r="J433" s="1637"/>
      <c r="K433" s="1637"/>
      <c r="L433" s="1637"/>
      <c r="M433" s="1637"/>
      <c r="N433" s="1637"/>
      <c r="O433" s="1637"/>
      <c r="P433" s="1637"/>
      <c r="Q433" s="163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3568</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3195</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3568</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3511</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3514</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3512</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3839</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3840</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3841</v>
      </c>
      <c r="D498" s="746"/>
      <c r="E498" s="746"/>
      <c r="F498" s="746"/>
      <c r="G498" s="746"/>
      <c r="H498" s="746"/>
      <c r="I498" s="746"/>
      <c r="J498" s="746"/>
      <c r="K498" s="746" t="s">
        <v>1596</v>
      </c>
      <c r="L498" s="48"/>
      <c r="AE498" s="665"/>
      <c r="AF498" s="665"/>
    </row>
    <row r="499" spans="3:32" s="65" customFormat="1" ht="11.25">
      <c r="C499" s="754" t="s">
        <v>3842</v>
      </c>
      <c r="D499" s="746"/>
      <c r="E499" s="746"/>
      <c r="F499" s="746"/>
      <c r="G499" s="746"/>
      <c r="H499" s="746"/>
      <c r="I499" s="746"/>
      <c r="J499" s="746"/>
      <c r="K499" s="746" t="s">
        <v>3786</v>
      </c>
      <c r="AE499" s="665"/>
      <c r="AF499" s="665"/>
    </row>
    <row r="500" spans="3:32" s="65" customFormat="1" ht="11.25">
      <c r="C500" s="751" t="s">
        <v>1742</v>
      </c>
      <c r="D500" s="746"/>
      <c r="E500" s="746"/>
      <c r="F500" s="746"/>
      <c r="G500" s="746"/>
      <c r="H500" s="746"/>
      <c r="I500" s="746"/>
      <c r="J500" s="746"/>
      <c r="K500" s="746" t="s">
        <v>3787</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3152</v>
      </c>
      <c r="AE502" s="665"/>
      <c r="AF502" s="665"/>
    </row>
    <row r="503" spans="3:32" s="65" customFormat="1" ht="11.25">
      <c r="C503" s="746" t="s">
        <v>1597</v>
      </c>
      <c r="D503" s="746"/>
      <c r="E503" s="746"/>
      <c r="F503" s="746"/>
      <c r="G503" s="746"/>
      <c r="H503" s="746"/>
      <c r="I503" s="746"/>
      <c r="J503" s="746"/>
      <c r="K503" s="746" t="s">
        <v>3247</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3788</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3336</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3568</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3511</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3513</v>
      </c>
      <c r="AE521" s="665"/>
      <c r="AF521" s="665"/>
    </row>
    <row r="522" spans="3:32" s="65" customFormat="1" ht="11.25">
      <c r="C522" s="746" t="s">
        <v>3089</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3514</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topLeftCell="A184" zoomScaleNormal="100" workbookViewId="0">
      <selection activeCell="A184"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2012-017 Cherokee Mill Lofts, Calhoun, Gordon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3121</v>
      </c>
      <c r="N3" s="90"/>
      <c r="O3" s="111" t="s">
        <v>3120</v>
      </c>
      <c r="P3" s="245" t="s">
        <v>313</v>
      </c>
    </row>
    <row r="4" spans="1:19" s="52" customFormat="1" ht="12.6" customHeight="1">
      <c r="A4" s="50"/>
      <c r="B4" s="50"/>
      <c r="C4" s="50"/>
      <c r="D4" s="50"/>
      <c r="E4" s="50"/>
      <c r="F4" s="50"/>
      <c r="G4" s="50"/>
      <c r="H4" s="50"/>
      <c r="I4" s="50"/>
      <c r="J4" s="50"/>
      <c r="K4" s="50"/>
      <c r="M4" s="247" t="s">
        <v>99</v>
      </c>
      <c r="N4" s="113"/>
      <c r="O4" s="246" t="s">
        <v>3121</v>
      </c>
      <c r="P4" s="112" t="s">
        <v>3121</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55</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3619</v>
      </c>
      <c r="G10" s="38">
        <f>F16</f>
        <v>0</v>
      </c>
      <c r="H10" s="244" t="s">
        <v>301</v>
      </c>
      <c r="M10" s="7">
        <v>7</v>
      </c>
      <c r="N10" s="78" t="s">
        <v>2862</v>
      </c>
      <c r="O10" s="1638"/>
      <c r="P10" s="66"/>
    </row>
    <row r="11" spans="1:19" s="50" customFormat="1" ht="11.25" customHeight="1">
      <c r="A11" s="255" t="s">
        <v>2865</v>
      </c>
      <c r="B11" s="236" t="s">
        <v>1122</v>
      </c>
      <c r="D11" s="56"/>
      <c r="E11" s="56"/>
      <c r="F11" s="823" t="s">
        <v>3619</v>
      </c>
      <c r="G11" s="38">
        <f>K16</f>
        <v>0</v>
      </c>
      <c r="H11" s="244" t="s">
        <v>302</v>
      </c>
      <c r="J11" s="57"/>
      <c r="M11" s="7">
        <v>0</v>
      </c>
      <c r="N11" s="78" t="s">
        <v>2865</v>
      </c>
      <c r="O11" s="1638"/>
      <c r="P11" s="66"/>
      <c r="Q11" s="148"/>
    </row>
    <row r="12" spans="1:19" s="51" customFormat="1" ht="11.25" customHeight="1">
      <c r="A12" s="255" t="s">
        <v>1145</v>
      </c>
      <c r="B12" s="236" t="s">
        <v>3002</v>
      </c>
      <c r="D12" s="56"/>
      <c r="E12" s="56"/>
      <c r="F12" s="823" t="s">
        <v>3619</v>
      </c>
      <c r="G12" s="38">
        <f>P16</f>
        <v>0</v>
      </c>
      <c r="H12" s="244" t="s">
        <v>303</v>
      </c>
      <c r="J12" s="57"/>
      <c r="M12" s="7">
        <v>1</v>
      </c>
      <c r="N12" s="78" t="s">
        <v>1145</v>
      </c>
      <c r="O12" s="163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8"/>
      <c r="B14" s="1579"/>
      <c r="C14" s="1579"/>
      <c r="D14" s="1579"/>
      <c r="E14" s="1579"/>
      <c r="F14" s="1579"/>
      <c r="G14" s="1579"/>
      <c r="H14" s="1579"/>
      <c r="I14" s="1579"/>
      <c r="J14" s="1579"/>
      <c r="K14" s="1579"/>
      <c r="L14" s="1579"/>
      <c r="M14" s="1579"/>
      <c r="N14" s="1579"/>
      <c r="O14" s="1579"/>
      <c r="P14" s="1580"/>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3380</v>
      </c>
      <c r="B16" s="1197"/>
      <c r="C16" s="1197"/>
      <c r="D16" s="1197"/>
      <c r="E16" s="79" t="s">
        <v>739</v>
      </c>
      <c r="F16" s="93">
        <f>SUM(F17:F28)</f>
        <v>0</v>
      </c>
      <c r="G16" s="1198" t="s">
        <v>3381</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3701</v>
      </c>
      <c r="E31" s="689"/>
      <c r="H31" s="660" t="s">
        <v>3856</v>
      </c>
      <c r="I31" s="1639">
        <v>12</v>
      </c>
      <c r="K31" s="660" t="s">
        <v>3858</v>
      </c>
      <c r="L31" s="691">
        <f>IF(OR('Part VI-Revenues &amp; Expenses'!$M$60="", 'Part VI-Revenues &amp; Expenses'!$M$60=0),0,I31/'Part VI-Revenues &amp; Expenses'!$M$60)</f>
        <v>0.2</v>
      </c>
      <c r="M31" s="1">
        <v>3</v>
      </c>
      <c r="N31" s="690"/>
      <c r="O31" s="1205" t="s">
        <v>3927</v>
      </c>
      <c r="P31" s="735">
        <v>0.15</v>
      </c>
    </row>
    <row r="32" spans="1:19" s="688" customFormat="1" ht="11.25" customHeight="1">
      <c r="A32" s="687" t="s">
        <v>2865</v>
      </c>
      <c r="B32" s="155" t="s">
        <v>3702</v>
      </c>
      <c r="E32" s="689"/>
      <c r="H32" s="660" t="s">
        <v>3703</v>
      </c>
      <c r="I32" s="1639"/>
      <c r="K32" s="660" t="s">
        <v>3858</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8"/>
      <c r="B34" s="1579"/>
      <c r="C34" s="1579"/>
      <c r="D34" s="1579"/>
      <c r="E34" s="1579"/>
      <c r="F34" s="1579"/>
      <c r="G34" s="1579"/>
      <c r="H34" s="1579"/>
      <c r="I34" s="1579"/>
      <c r="J34" s="1579"/>
      <c r="K34" s="1579"/>
      <c r="L34" s="1579"/>
      <c r="M34" s="1579"/>
      <c r="N34" s="1579"/>
      <c r="O34" s="1579"/>
      <c r="P34" s="1580"/>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3548</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0">
        <v>12</v>
      </c>
      <c r="P40" s="85"/>
      <c r="R40" s="558"/>
    </row>
    <row r="41" spans="1:18" s="51" customFormat="1" ht="12.6" customHeight="1">
      <c r="A41" s="189" t="s">
        <v>2865</v>
      </c>
      <c r="B41" s="236" t="s">
        <v>2748</v>
      </c>
      <c r="D41" s="49"/>
      <c r="E41" s="244" t="s">
        <v>588</v>
      </c>
      <c r="F41" s="585"/>
      <c r="G41" s="585"/>
      <c r="H41" s="585"/>
      <c r="M41" s="180" t="s">
        <v>1777</v>
      </c>
      <c r="N41" s="803" t="s">
        <v>2865</v>
      </c>
      <c r="O41" s="1638"/>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8"/>
      <c r="B44" s="1579"/>
      <c r="C44" s="1579"/>
      <c r="D44" s="1579"/>
      <c r="E44" s="1579"/>
      <c r="F44" s="1579"/>
      <c r="G44" s="1579"/>
      <c r="H44" s="1579"/>
      <c r="I44" s="1579"/>
      <c r="J44" s="1579"/>
      <c r="K44" s="1579"/>
      <c r="L44" s="1579"/>
      <c r="M44" s="1579"/>
      <c r="N44" s="1579"/>
      <c r="O44" s="1579"/>
      <c r="P44" s="1580"/>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3756</v>
      </c>
      <c r="D49" s="49"/>
      <c r="H49" s="53" t="s">
        <v>3859</v>
      </c>
      <c r="I49" s="57" t="s">
        <v>2755</v>
      </c>
      <c r="J49" s="56"/>
      <c r="K49" s="56"/>
      <c r="M49" s="3">
        <v>3</v>
      </c>
      <c r="N49" s="803"/>
      <c r="O49" s="204">
        <f>MIN($M49,(O50+O51+O52))</f>
        <v>0</v>
      </c>
      <c r="P49" s="204">
        <f>MIN($M49,(P50+P51+P52))</f>
        <v>0</v>
      </c>
      <c r="Q49" s="148" t="s">
        <v>612</v>
      </c>
    </row>
    <row r="50" spans="1:18" s="51" customFormat="1" ht="12" customHeight="1">
      <c r="A50" s="189" t="s">
        <v>2862</v>
      </c>
      <c r="B50" s="236" t="s">
        <v>3716</v>
      </c>
      <c r="C50" s="5"/>
      <c r="D50" s="5"/>
      <c r="E50" s="44"/>
      <c r="F50" s="5"/>
      <c r="G50" s="47"/>
      <c r="I50" s="47"/>
      <c r="K50" s="56"/>
      <c r="L50" s="558" t="str">
        <f>IF(OR($O50=$M50,$O50=0,$O50=""),"","* * Check Score! * *")</f>
        <v/>
      </c>
      <c r="M50" s="3">
        <v>3</v>
      </c>
      <c r="N50" s="250" t="s">
        <v>2862</v>
      </c>
      <c r="O50" s="1640"/>
      <c r="P50" s="85"/>
      <c r="R50" s="558"/>
    </row>
    <row r="51" spans="1:18" s="51" customFormat="1" ht="12.6" customHeight="1">
      <c r="A51" s="189" t="s">
        <v>2865</v>
      </c>
      <c r="B51" s="236" t="s">
        <v>3717</v>
      </c>
      <c r="E51" s="49"/>
      <c r="K51" s="56"/>
      <c r="L51" s="558" t="str">
        <f>IF(OR($O51=$M51,$O51=0,$O51=""),"","* * Check Score! * *")</f>
        <v/>
      </c>
      <c r="M51" s="3">
        <v>2</v>
      </c>
      <c r="N51" s="803" t="s">
        <v>2865</v>
      </c>
      <c r="O51" s="1640"/>
      <c r="P51" s="85"/>
      <c r="R51" s="558"/>
    </row>
    <row r="52" spans="1:18" s="51" customFormat="1" ht="12.6" customHeight="1">
      <c r="A52" s="189" t="s">
        <v>1145</v>
      </c>
      <c r="B52" s="236" t="s">
        <v>3759</v>
      </c>
      <c r="E52" s="49"/>
      <c r="K52" s="56"/>
      <c r="L52" s="558" t="str">
        <f>IF(OR($O52=$M52,$O52=0,$O52=""),"","* * Check Score! * *")</f>
        <v/>
      </c>
      <c r="M52" s="3">
        <v>1</v>
      </c>
      <c r="N52" s="250" t="s">
        <v>1145</v>
      </c>
      <c r="O52" s="1640"/>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8"/>
      <c r="B54" s="1579"/>
      <c r="C54" s="1579"/>
      <c r="D54" s="1579"/>
      <c r="E54" s="1579"/>
      <c r="F54" s="1579"/>
      <c r="G54" s="1579"/>
      <c r="H54" s="1579"/>
      <c r="I54" s="1579"/>
      <c r="J54" s="1579"/>
      <c r="K54" s="1579"/>
      <c r="L54" s="1579"/>
      <c r="M54" s="1579"/>
      <c r="N54" s="1579"/>
      <c r="O54" s="1579"/>
      <c r="P54" s="1580"/>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3757</v>
      </c>
      <c r="D58" s="49"/>
      <c r="E58" s="586" t="s">
        <v>3439</v>
      </c>
      <c r="I58" s="57" t="s">
        <v>2755</v>
      </c>
      <c r="M58" s="3">
        <v>1</v>
      </c>
      <c r="N58" s="601" t="str">
        <f>IF(OR($O58=$M58,$O58=0,$O58=""),"","***")</f>
        <v/>
      </c>
      <c r="O58" s="1640">
        <v>1</v>
      </c>
      <c r="P58" s="85"/>
      <c r="Q58" s="148" t="s">
        <v>612</v>
      </c>
    </row>
    <row r="59" spans="1:18" s="51" customFormat="1" ht="12.6" customHeight="1">
      <c r="A59" s="209"/>
      <c r="B59" s="586" t="s">
        <v>1120</v>
      </c>
      <c r="D59" s="49"/>
      <c r="H59" s="57"/>
      <c r="I59" s="57"/>
      <c r="J59" s="57"/>
      <c r="K59" s="57"/>
      <c r="L59" s="57"/>
      <c r="M59" s="3"/>
      <c r="N59" s="601"/>
      <c r="O59" s="1574" t="s">
        <v>3981</v>
      </c>
      <c r="P59" s="232"/>
      <c r="Q59" s="148"/>
    </row>
    <row r="60" spans="1:18" s="51" customFormat="1" ht="12.6" customHeight="1">
      <c r="A60" s="209"/>
      <c r="B60" s="586" t="s">
        <v>1119</v>
      </c>
      <c r="D60" s="49"/>
      <c r="H60" s="57"/>
      <c r="I60" s="1550" t="s">
        <v>4068</v>
      </c>
      <c r="J60" s="1641"/>
      <c r="K60" s="1641"/>
      <c r="L60" s="1642"/>
      <c r="M60" s="3"/>
      <c r="N60" s="601"/>
      <c r="O60" s="601"/>
      <c r="P60" s="601"/>
      <c r="Q60" s="148"/>
    </row>
    <row r="61" spans="1:18" s="51" customFormat="1" ht="12.6" customHeight="1">
      <c r="A61" s="209"/>
      <c r="B61" s="586" t="s">
        <v>1121</v>
      </c>
      <c r="D61" s="49"/>
      <c r="H61" s="57"/>
      <c r="I61" s="57"/>
      <c r="J61" s="57"/>
      <c r="K61" s="57"/>
      <c r="L61" s="57"/>
      <c r="M61" s="3"/>
      <c r="N61" s="601"/>
      <c r="O61" s="1574" t="s">
        <v>3979</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39" customHeight="1">
      <c r="A63" s="1578" t="s">
        <v>4094</v>
      </c>
      <c r="B63" s="1579"/>
      <c r="C63" s="1579"/>
      <c r="D63" s="1579"/>
      <c r="E63" s="1579"/>
      <c r="F63" s="1579"/>
      <c r="G63" s="1579"/>
      <c r="H63" s="1579"/>
      <c r="I63" s="1579"/>
      <c r="J63" s="1579"/>
      <c r="K63" s="1579"/>
      <c r="L63" s="1579"/>
      <c r="M63" s="1579"/>
      <c r="N63" s="1579"/>
      <c r="O63" s="1579"/>
      <c r="P63" s="1580"/>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3758</v>
      </c>
      <c r="D67" s="49"/>
      <c r="E67" s="44" t="s">
        <v>1954</v>
      </c>
      <c r="I67" s="57" t="s">
        <v>2755</v>
      </c>
      <c r="M67" s="3">
        <v>2</v>
      </c>
      <c r="N67" s="601" t="str">
        <f>IF(OR($O67=$M67,$O67=0,$O67=""),"","***")</f>
        <v/>
      </c>
      <c r="O67" s="1640"/>
      <c r="P67" s="85"/>
      <c r="Q67" s="148" t="s">
        <v>612</v>
      </c>
    </row>
    <row r="68" spans="1:18" s="51" customFormat="1" ht="12.6" customHeight="1">
      <c r="A68" s="209"/>
      <c r="B68" s="586" t="s">
        <v>3704</v>
      </c>
      <c r="D68" s="49"/>
      <c r="E68" s="44"/>
      <c r="I68" s="1643"/>
      <c r="J68" s="1641"/>
      <c r="K68" s="1641"/>
      <c r="L68" s="1642"/>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8"/>
      <c r="B70" s="1579"/>
      <c r="C70" s="1579"/>
      <c r="D70" s="1579"/>
      <c r="E70" s="1579"/>
      <c r="F70" s="1579"/>
      <c r="G70" s="1579"/>
      <c r="H70" s="1579"/>
      <c r="I70" s="1579"/>
      <c r="J70" s="1579"/>
      <c r="K70" s="1579"/>
      <c r="L70" s="1579"/>
      <c r="M70" s="1579"/>
      <c r="N70" s="1579"/>
      <c r="O70" s="1579"/>
      <c r="P70" s="1580"/>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3843</v>
      </c>
      <c r="J74" s="1644" t="s">
        <v>4069</v>
      </c>
      <c r="K74" s="1645"/>
      <c r="L74" s="1646"/>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3248</v>
      </c>
      <c r="D75" s="40"/>
      <c r="H75" s="73"/>
      <c r="I75" s="40"/>
      <c r="J75" s="40"/>
      <c r="M75" s="157">
        <v>3</v>
      </c>
      <c r="N75" s="31"/>
      <c r="O75" s="162" t="s">
        <v>3521</v>
      </c>
      <c r="P75" s="162" t="s">
        <v>3521</v>
      </c>
    </row>
    <row r="76" spans="1:18" s="51" customFormat="1" ht="12.6" customHeight="1">
      <c r="A76" s="209"/>
      <c r="B76" s="693" t="s">
        <v>3944</v>
      </c>
      <c r="D76" s="49"/>
      <c r="M76" s="3"/>
      <c r="N76" s="250" t="s">
        <v>2862</v>
      </c>
      <c r="O76" s="1574"/>
      <c r="P76" s="232"/>
      <c r="Q76" s="148"/>
    </row>
    <row r="77" spans="1:18" ht="11.45" customHeight="1">
      <c r="A77" s="550" t="str">
        <f>IF($I$90="Stable Communities &lt; 10%", "X","")</f>
        <v/>
      </c>
      <c r="B77" s="551" t="s">
        <v>2866</v>
      </c>
      <c r="C77" s="568" t="s">
        <v>3705</v>
      </c>
      <c r="E77" s="160"/>
      <c r="N77" s="31"/>
      <c r="O77" s="31"/>
      <c r="P77" s="31"/>
    </row>
    <row r="78" spans="1:18" ht="23.25" customHeight="1">
      <c r="B78" s="575" t="s">
        <v>3418</v>
      </c>
      <c r="C78" s="1207" t="s">
        <v>3707</v>
      </c>
      <c r="D78" s="1207"/>
      <c r="E78" s="1207"/>
      <c r="F78" s="1207"/>
      <c r="G78" s="1207"/>
      <c r="H78" s="1207"/>
      <c r="I78" s="1207"/>
      <c r="J78" s="1207"/>
      <c r="K78" s="1207"/>
      <c r="L78" s="1207"/>
      <c r="M78" s="572" t="str">
        <f>IF(AND($I$90="Stable Communities &lt; 10%",O78=""), "X","")</f>
        <v/>
      </c>
      <c r="N78" s="574" t="s">
        <v>3711</v>
      </c>
      <c r="O78" s="1647"/>
      <c r="P78" s="355"/>
    </row>
    <row r="79" spans="1:18" ht="23.25" customHeight="1">
      <c r="B79" s="575" t="s">
        <v>3419</v>
      </c>
      <c r="C79" s="1125" t="s">
        <v>3709</v>
      </c>
      <c r="D79" s="1125"/>
      <c r="E79" s="1125"/>
      <c r="F79" s="1125"/>
      <c r="G79" s="1125"/>
      <c r="H79" s="1125"/>
      <c r="I79" s="1125"/>
      <c r="J79" s="1125"/>
      <c r="K79" s="1125"/>
      <c r="L79" s="1125"/>
      <c r="M79" s="572" t="str">
        <f>IF(AND($I$90="Stable Communities &lt; 10%",O79=""), "X","")</f>
        <v/>
      </c>
      <c r="N79" s="574" t="s">
        <v>3712</v>
      </c>
      <c r="O79" s="1648"/>
      <c r="P79" s="356"/>
    </row>
    <row r="80" spans="1:18" ht="11.45" customHeight="1">
      <c r="A80" s="550" t="str">
        <f>IF($I$90="Stable Communities &lt; 20%", "X","")</f>
        <v/>
      </c>
      <c r="B80" s="551" t="s">
        <v>2868</v>
      </c>
      <c r="C80" s="568" t="s">
        <v>3706</v>
      </c>
      <c r="E80" s="160"/>
      <c r="M80" s="573"/>
      <c r="N80" s="31"/>
      <c r="O80" s="162" t="s">
        <v>3521</v>
      </c>
      <c r="P80" s="162" t="s">
        <v>3521</v>
      </c>
    </row>
    <row r="81" spans="1:18" ht="23.25" customHeight="1">
      <c r="B81" s="575" t="s">
        <v>3418</v>
      </c>
      <c r="C81" s="1207" t="s">
        <v>3708</v>
      </c>
      <c r="D81" s="1207"/>
      <c r="E81" s="1207"/>
      <c r="F81" s="1207"/>
      <c r="G81" s="1207"/>
      <c r="H81" s="1207"/>
      <c r="I81" s="1207"/>
      <c r="J81" s="1207"/>
      <c r="K81" s="1207"/>
      <c r="L81" s="1207"/>
      <c r="M81" s="572" t="str">
        <f>IF(AND($I$90="Stable Communities &lt; 10%",O81=""), "X","")</f>
        <v/>
      </c>
      <c r="N81" s="692" t="s">
        <v>3713</v>
      </c>
      <c r="O81" s="1647"/>
      <c r="P81" s="355"/>
    </row>
    <row r="82" spans="1:18">
      <c r="B82" s="575" t="s">
        <v>3419</v>
      </c>
      <c r="C82" s="1125" t="s">
        <v>3710</v>
      </c>
      <c r="D82" s="1125"/>
      <c r="E82" s="1125"/>
      <c r="F82" s="1125"/>
      <c r="G82" s="1125"/>
      <c r="H82" s="1125"/>
      <c r="I82" s="1125"/>
      <c r="J82" s="1125"/>
      <c r="K82" s="1125"/>
      <c r="L82" s="1125"/>
      <c r="M82" s="572" t="str">
        <f>IF(AND($I$90="Stable Communities &lt; 10%",O82=""), "X","")</f>
        <v/>
      </c>
      <c r="N82" s="692" t="s">
        <v>3714</v>
      </c>
      <c r="O82" s="1648"/>
      <c r="P82" s="356"/>
    </row>
    <row r="83" spans="1:18" ht="11.45" customHeight="1">
      <c r="A83" s="189" t="s">
        <v>2865</v>
      </c>
      <c r="B83" s="254" t="s">
        <v>379</v>
      </c>
      <c r="D83" s="40"/>
      <c r="E83" s="40"/>
      <c r="F83" s="40"/>
      <c r="M83" s="67">
        <v>2</v>
      </c>
      <c r="N83" s="31"/>
      <c r="O83" s="162" t="s">
        <v>3521</v>
      </c>
      <c r="P83" s="162" t="s">
        <v>3521</v>
      </c>
    </row>
    <row r="84" spans="1:18" s="51" customFormat="1" ht="12.6" customHeight="1">
      <c r="A84" s="209"/>
      <c r="B84" s="693" t="s">
        <v>3715</v>
      </c>
      <c r="D84" s="49"/>
      <c r="M84" s="3"/>
      <c r="N84" s="803" t="s">
        <v>2865</v>
      </c>
      <c r="O84" s="1574" t="s">
        <v>3981</v>
      </c>
      <c r="P84" s="232"/>
      <c r="Q84" s="148"/>
    </row>
    <row r="85" spans="1:18" s="134" customFormat="1" ht="11.45" customHeight="1">
      <c r="A85" s="50"/>
      <c r="B85" s="57" t="s">
        <v>312</v>
      </c>
      <c r="C85" s="50"/>
      <c r="D85" s="56"/>
      <c r="E85" s="56"/>
      <c r="F85" s="56"/>
      <c r="G85" s="56"/>
      <c r="K85" s="44"/>
      <c r="M85" s="54"/>
      <c r="N85" s="7"/>
      <c r="O85" s="4"/>
      <c r="P85" s="3"/>
    </row>
    <row r="86" spans="1:18" s="51" customFormat="1" ht="42" customHeight="1">
      <c r="A86" s="1649" t="s">
        <v>4095</v>
      </c>
      <c r="B86" s="1650"/>
      <c r="C86" s="1650"/>
      <c r="D86" s="1650"/>
      <c r="E86" s="1650"/>
      <c r="F86" s="1650"/>
      <c r="G86" s="1650"/>
      <c r="H86" s="1650"/>
      <c r="I86" s="1650"/>
      <c r="J86" s="1650"/>
      <c r="K86" s="1650"/>
      <c r="L86" s="1650"/>
      <c r="M86" s="1650"/>
      <c r="N86" s="1650"/>
      <c r="O86" s="1650"/>
      <c r="P86" s="1651"/>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3382</v>
      </c>
      <c r="C90" s="123"/>
      <c r="D90" s="71"/>
      <c r="E90" s="71"/>
      <c r="I90" s="1288" t="s">
        <v>4070</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3520</v>
      </c>
      <c r="D92" s="40"/>
      <c r="H92" s="73"/>
      <c r="I92" s="40"/>
      <c r="J92" s="40"/>
      <c r="M92" s="157"/>
      <c r="N92" s="31"/>
      <c r="O92" s="31"/>
      <c r="P92" s="31"/>
    </row>
    <row r="93" spans="1:18" ht="11.45" customHeight="1">
      <c r="A93" s="550" t="str">
        <f>IF($I$90="Stable Communities &lt; 10%", "X","")</f>
        <v/>
      </c>
      <c r="B93" s="551" t="s">
        <v>2866</v>
      </c>
      <c r="C93" s="721" t="s">
        <v>3895</v>
      </c>
      <c r="E93" s="160"/>
      <c r="M93" s="108">
        <v>4</v>
      </c>
      <c r="N93" s="31"/>
      <c r="O93" s="162" t="s">
        <v>3521</v>
      </c>
      <c r="P93" s="162" t="s">
        <v>3521</v>
      </c>
    </row>
    <row r="94" spans="1:18" ht="11.45" customHeight="1">
      <c r="B94" s="231" t="s">
        <v>3418</v>
      </c>
      <c r="C94" s="721" t="s">
        <v>3364</v>
      </c>
      <c r="E94" s="160"/>
      <c r="G94" s="132" t="s">
        <v>3365</v>
      </c>
      <c r="M94" s="694" t="str">
        <f>IF(AND($I$90="Stable Communities &lt; 10%",O94=""), "X","")</f>
        <v/>
      </c>
      <c r="N94" s="231" t="s">
        <v>3418</v>
      </c>
      <c r="O94" s="1647"/>
      <c r="P94" s="355"/>
    </row>
    <row r="95" spans="1:18" ht="11.45" customHeight="1">
      <c r="B95" s="231" t="s">
        <v>3419</v>
      </c>
      <c r="C95" s="665" t="s">
        <v>3366</v>
      </c>
      <c r="E95" s="160"/>
      <c r="G95" s="132" t="s">
        <v>3367</v>
      </c>
      <c r="M95" s="694" t="str">
        <f>IF(AND($I$90="Stable Communities &lt; 10%",O95=""), "X","")</f>
        <v/>
      </c>
      <c r="N95" s="231" t="s">
        <v>3419</v>
      </c>
      <c r="O95" s="1652"/>
      <c r="P95" s="541"/>
    </row>
    <row r="96" spans="1:18" ht="11.45" customHeight="1">
      <c r="B96" s="231" t="s">
        <v>3420</v>
      </c>
      <c r="C96" s="665" t="s">
        <v>3752</v>
      </c>
      <c r="E96" s="160"/>
      <c r="M96" s="694" t="str">
        <f>IF(AND($I$90="Stable Communities &lt; 10%",O96=""), "X","")</f>
        <v/>
      </c>
      <c r="N96" s="231" t="s">
        <v>3420</v>
      </c>
      <c r="O96" s="1648"/>
      <c r="P96" s="356"/>
    </row>
    <row r="97" spans="1:18" ht="3" customHeight="1">
      <c r="B97" s="160"/>
      <c r="C97" s="160"/>
      <c r="D97" s="160"/>
      <c r="E97" s="160"/>
      <c r="R97" s="51"/>
    </row>
    <row r="98" spans="1:18" ht="11.45" customHeight="1">
      <c r="A98" s="550" t="str">
        <f>IF($I$90="Stable Communities &lt; 20%", "X","")</f>
        <v/>
      </c>
      <c r="B98" s="551" t="s">
        <v>2868</v>
      </c>
      <c r="C98" s="721" t="s">
        <v>3895</v>
      </c>
      <c r="E98" s="160"/>
      <c r="M98" s="695">
        <v>2</v>
      </c>
      <c r="N98" s="31"/>
      <c r="O98" s="162"/>
      <c r="P98" s="162"/>
    </row>
    <row r="99" spans="1:18" ht="11.45" customHeight="1">
      <c r="B99" s="231" t="s">
        <v>3418</v>
      </c>
      <c r="C99" s="721" t="s">
        <v>3440</v>
      </c>
      <c r="E99" s="160"/>
      <c r="G99" s="132" t="s">
        <v>3365</v>
      </c>
      <c r="M99" s="572" t="str">
        <f>IF(AND($I$90="Stable Communities &lt; 20%",O99=""), "X","")</f>
        <v/>
      </c>
      <c r="N99" s="231" t="s">
        <v>3418</v>
      </c>
      <c r="O99" s="1647"/>
      <c r="P99" s="355"/>
    </row>
    <row r="100" spans="1:18" ht="11.45" customHeight="1">
      <c r="B100" s="231" t="s">
        <v>3419</v>
      </c>
      <c r="C100" s="665" t="s">
        <v>3366</v>
      </c>
      <c r="E100" s="160"/>
      <c r="G100" s="132" t="s">
        <v>3367</v>
      </c>
      <c r="M100" s="572" t="str">
        <f>IF(AND($I$90="Stable Communities &lt; 20%",O100=""), "X","")</f>
        <v/>
      </c>
      <c r="N100" s="231" t="s">
        <v>3419</v>
      </c>
      <c r="O100" s="1652"/>
      <c r="P100" s="541"/>
    </row>
    <row r="101" spans="1:18" ht="11.45" customHeight="1">
      <c r="B101" s="231" t="s">
        <v>3420</v>
      </c>
      <c r="C101" s="665" t="s">
        <v>3752</v>
      </c>
      <c r="E101" s="160"/>
      <c r="M101" s="572" t="str">
        <f>IF(AND($I$90="Stable Communities &lt; 20%",O101=""), "X","")</f>
        <v/>
      </c>
      <c r="N101" s="231" t="s">
        <v>3420</v>
      </c>
      <c r="O101" s="1648"/>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3441</v>
      </c>
      <c r="D104" s="134"/>
      <c r="G104" s="195"/>
      <c r="K104" s="134"/>
      <c r="L104" s="134"/>
      <c r="M104" s="664">
        <v>6</v>
      </c>
      <c r="N104" s="31"/>
      <c r="O104" s="162" t="s">
        <v>3521</v>
      </c>
      <c r="P104" s="162" t="s">
        <v>3521</v>
      </c>
    </row>
    <row r="105" spans="1:18" ht="10.9" customHeight="1">
      <c r="B105" s="552" t="s">
        <v>3418</v>
      </c>
      <c r="C105" s="553" t="s">
        <v>842</v>
      </c>
      <c r="D105" s="132"/>
      <c r="M105" s="859" t="str">
        <f>IF(AND($I$90="HOPE VI Initiative",O105=""), "X","")</f>
        <v/>
      </c>
      <c r="N105" s="231" t="s">
        <v>3418</v>
      </c>
      <c r="O105" s="1647" t="s">
        <v>2104</v>
      </c>
      <c r="P105" s="355"/>
    </row>
    <row r="106" spans="1:18" ht="10.9" customHeight="1">
      <c r="B106" s="552" t="s">
        <v>3419</v>
      </c>
      <c r="C106" s="553" t="s">
        <v>843</v>
      </c>
      <c r="M106" s="859" t="str">
        <f>IF(AND($I$90="HOPE VI Initiative",O106=""), "X","")</f>
        <v/>
      </c>
      <c r="N106" s="231" t="s">
        <v>3419</v>
      </c>
      <c r="O106" s="1652" t="s">
        <v>2104</v>
      </c>
      <c r="P106" s="541"/>
    </row>
    <row r="107" spans="1:18" ht="10.9" customHeight="1">
      <c r="B107" s="552" t="s">
        <v>3420</v>
      </c>
      <c r="C107" s="553" t="s">
        <v>844</v>
      </c>
      <c r="M107" s="859" t="str">
        <f>IF(AND($I$90="HOPE VI Initiative",O107=""), "X","")</f>
        <v/>
      </c>
      <c r="N107" s="231" t="s">
        <v>3420</v>
      </c>
      <c r="O107" s="1652" t="s">
        <v>2104</v>
      </c>
      <c r="P107" s="541"/>
    </row>
    <row r="108" spans="1:18" ht="10.9" customHeight="1">
      <c r="B108" s="552" t="s">
        <v>3421</v>
      </c>
      <c r="C108" s="69" t="s">
        <v>845</v>
      </c>
      <c r="M108" s="859" t="str">
        <f>IF(AND($I$90="HOPE VI Initiative",O108=""), "X","")</f>
        <v/>
      </c>
      <c r="N108" s="231" t="s">
        <v>3421</v>
      </c>
      <c r="O108" s="1648"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3928</v>
      </c>
      <c r="M110" s="696">
        <v>2</v>
      </c>
      <c r="N110" s="551" t="s">
        <v>2868</v>
      </c>
      <c r="O110" s="1574" t="s">
        <v>3981</v>
      </c>
      <c r="P110" s="232"/>
    </row>
    <row r="111" spans="1:18" ht="3" customHeight="1">
      <c r="B111" s="160"/>
      <c r="C111" s="160"/>
      <c r="D111" s="160"/>
      <c r="E111" s="160"/>
      <c r="R111" s="51"/>
    </row>
    <row r="112" spans="1:18" s="51" customFormat="1" ht="11.45" customHeight="1">
      <c r="A112" s="550" t="str">
        <f>IF($I$90="Redevelopment Zone", "X","")</f>
        <v/>
      </c>
      <c r="B112" s="551" t="s">
        <v>3548</v>
      </c>
      <c r="C112" s="154" t="s">
        <v>504</v>
      </c>
      <c r="D112" s="134"/>
      <c r="F112" s="571"/>
      <c r="G112" s="48" t="s">
        <v>1536</v>
      </c>
      <c r="H112" s="1653" t="s">
        <v>2626</v>
      </c>
      <c r="I112" s="162" t="s">
        <v>1458</v>
      </c>
      <c r="J112" s="1654"/>
      <c r="K112" s="1655"/>
      <c r="L112" s="1656"/>
      <c r="M112" s="696">
        <v>1</v>
      </c>
      <c r="N112" s="551" t="s">
        <v>3548</v>
      </c>
      <c r="O112" s="1574" t="s">
        <v>2104</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7"/>
      <c r="I114" s="1341"/>
      <c r="J114" s="1341"/>
      <c r="K114" s="1341"/>
      <c r="L114" s="1342"/>
      <c r="M114" s="696">
        <v>1</v>
      </c>
      <c r="N114" s="551" t="s">
        <v>1762</v>
      </c>
      <c r="O114" s="1574" t="s">
        <v>2104</v>
      </c>
      <c r="P114" s="232"/>
    </row>
    <row r="115" spans="1:18" ht="11.45" customHeight="1">
      <c r="B115" s="552" t="s">
        <v>3418</v>
      </c>
      <c r="C115" s="48" t="s">
        <v>3751</v>
      </c>
      <c r="D115" s="132"/>
      <c r="G115" s="132" t="s">
        <v>848</v>
      </c>
      <c r="H115" s="1658"/>
      <c r="M115" s="571" t="str">
        <f>IF(AND($I$90="Local Redevelopment Plan",O115=""), "X","")</f>
        <v/>
      </c>
      <c r="N115" s="552" t="s">
        <v>3418</v>
      </c>
      <c r="O115" s="1647" t="s">
        <v>2104</v>
      </c>
      <c r="P115" s="355"/>
    </row>
    <row r="116" spans="1:18" ht="10.9" customHeight="1">
      <c r="B116" s="552" t="s">
        <v>3419</v>
      </c>
      <c r="C116" s="553" t="s">
        <v>3444</v>
      </c>
      <c r="D116" s="132"/>
      <c r="M116" s="571"/>
      <c r="N116" s="552" t="s">
        <v>3419</v>
      </c>
      <c r="O116" s="1659" t="s">
        <v>2104</v>
      </c>
      <c r="P116" s="602"/>
    </row>
    <row r="117" spans="1:18" ht="10.9" customHeight="1">
      <c r="B117" s="552" t="s">
        <v>3420</v>
      </c>
      <c r="C117" s="553" t="s">
        <v>3445</v>
      </c>
      <c r="M117" s="571" t="str">
        <f t="shared" ref="M117:M121" si="0">IF(AND($I$90="Local Redevelopment Plan",O117=""), "X","")</f>
        <v/>
      </c>
      <c r="N117" s="552" t="s">
        <v>3420</v>
      </c>
      <c r="O117" s="1652" t="s">
        <v>2104</v>
      </c>
      <c r="P117" s="541"/>
    </row>
    <row r="118" spans="1:18" ht="10.9" customHeight="1">
      <c r="B118" s="552" t="s">
        <v>3421</v>
      </c>
      <c r="C118" s="553" t="s">
        <v>3446</v>
      </c>
      <c r="M118" s="571" t="str">
        <f t="shared" si="0"/>
        <v/>
      </c>
      <c r="N118" s="552" t="s">
        <v>3421</v>
      </c>
      <c r="O118" s="1652" t="s">
        <v>2104</v>
      </c>
      <c r="P118" s="541"/>
    </row>
    <row r="119" spans="1:18" ht="10.9" customHeight="1">
      <c r="B119" s="552" t="s">
        <v>3422</v>
      </c>
      <c r="C119" s="69" t="s">
        <v>3447</v>
      </c>
      <c r="M119" s="571" t="str">
        <f t="shared" si="0"/>
        <v/>
      </c>
      <c r="N119" s="552" t="s">
        <v>3422</v>
      </c>
      <c r="O119" s="1652" t="s">
        <v>2104</v>
      </c>
      <c r="P119" s="541"/>
    </row>
    <row r="120" spans="1:18" ht="10.9" customHeight="1">
      <c r="B120" s="552" t="s">
        <v>3442</v>
      </c>
      <c r="C120" s="553" t="s">
        <v>3448</v>
      </c>
      <c r="D120" s="132"/>
      <c r="M120" s="571" t="str">
        <f t="shared" si="0"/>
        <v/>
      </c>
      <c r="N120" s="552" t="s">
        <v>3442</v>
      </c>
      <c r="O120" s="1652" t="s">
        <v>2104</v>
      </c>
      <c r="P120" s="541"/>
    </row>
    <row r="121" spans="1:18" ht="10.9" customHeight="1">
      <c r="B121" s="552" t="s">
        <v>3443</v>
      </c>
      <c r="C121" s="553" t="s">
        <v>3449</v>
      </c>
      <c r="M121" s="571" t="str">
        <f t="shared" si="0"/>
        <v/>
      </c>
      <c r="N121" s="552" t="s">
        <v>3443</v>
      </c>
      <c r="O121" s="1648" t="s">
        <v>2104</v>
      </c>
      <c r="P121" s="356"/>
    </row>
    <row r="122" spans="1:18" ht="11.45" customHeight="1">
      <c r="A122" s="550" t="str">
        <f>IF($I$90="Stable Communities &lt; 20%", "X","")</f>
        <v/>
      </c>
      <c r="C122" s="568" t="s">
        <v>3453</v>
      </c>
      <c r="E122" s="160"/>
      <c r="M122" s="573"/>
      <c r="N122" s="31"/>
      <c r="O122" s="162"/>
      <c r="P122" s="162"/>
    </row>
    <row r="123" spans="1:18" ht="10.9" customHeight="1">
      <c r="B123" s="552" t="s">
        <v>3450</v>
      </c>
      <c r="C123" s="553" t="s">
        <v>3454</v>
      </c>
      <c r="M123" s="571"/>
      <c r="O123" s="552" t="s">
        <v>3450</v>
      </c>
      <c r="P123" s="355"/>
    </row>
    <row r="124" spans="1:18" ht="10.9" customHeight="1">
      <c r="B124" s="552" t="s">
        <v>3451</v>
      </c>
      <c r="C124" s="69" t="s">
        <v>3455</v>
      </c>
      <c r="M124" s="571"/>
      <c r="O124" s="552" t="s">
        <v>3451</v>
      </c>
      <c r="P124" s="541"/>
    </row>
    <row r="125" spans="1:18" ht="10.9" customHeight="1">
      <c r="B125" s="552" t="s">
        <v>3452</v>
      </c>
      <c r="C125" s="553" t="s">
        <v>3456</v>
      </c>
      <c r="M125" s="571"/>
      <c r="O125" s="552" t="s">
        <v>3452</v>
      </c>
      <c r="P125" s="541"/>
    </row>
    <row r="126" spans="1:18" ht="10.9" customHeight="1">
      <c r="B126" s="552" t="s">
        <v>847</v>
      </c>
      <c r="C126" s="69" t="s">
        <v>3457</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42.75" customHeight="1">
      <c r="A128" s="1649" t="s">
        <v>4096</v>
      </c>
      <c r="B128" s="1650"/>
      <c r="C128" s="1650"/>
      <c r="D128" s="1650"/>
      <c r="E128" s="1650"/>
      <c r="F128" s="1650"/>
      <c r="G128" s="1650"/>
      <c r="H128" s="1650"/>
      <c r="I128" s="1650"/>
      <c r="J128" s="1650"/>
      <c r="K128" s="1650"/>
      <c r="L128" s="1650"/>
      <c r="M128" s="1650"/>
      <c r="N128" s="1650"/>
      <c r="O128" s="1650"/>
      <c r="P128" s="1651"/>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3458</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3141</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0"/>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74"/>
      <c r="P134" s="232"/>
    </row>
    <row r="135" spans="1:17" s="132" customFormat="1" ht="11.45" customHeight="1">
      <c r="B135" s="250"/>
      <c r="C135" s="161" t="s">
        <v>1460</v>
      </c>
      <c r="H135" s="704" t="s">
        <v>3619</v>
      </c>
      <c r="I135" s="1653"/>
      <c r="J135" s="704" t="s">
        <v>3218</v>
      </c>
      <c r="K135" s="1661"/>
      <c r="L135" s="1662"/>
      <c r="M135" s="1663"/>
    </row>
    <row r="136" spans="1:17" s="132" customFormat="1" ht="11.45" customHeight="1">
      <c r="B136" s="250" t="s">
        <v>2868</v>
      </c>
      <c r="C136" s="161" t="s">
        <v>1461</v>
      </c>
      <c r="M136" s="8"/>
      <c r="N136" s="250" t="s">
        <v>2868</v>
      </c>
      <c r="O136" s="1647"/>
      <c r="P136" s="355"/>
    </row>
    <row r="137" spans="1:17" s="132" customFormat="1" ht="11.45" customHeight="1">
      <c r="B137" s="250" t="s">
        <v>3548</v>
      </c>
      <c r="C137" s="161" t="s">
        <v>1462</v>
      </c>
      <c r="M137" s="8"/>
      <c r="N137" s="250" t="s">
        <v>3548</v>
      </c>
      <c r="O137" s="1652"/>
      <c r="P137" s="541"/>
    </row>
    <row r="138" spans="1:17" s="132" customFormat="1" ht="11.45" customHeight="1">
      <c r="B138" s="250" t="s">
        <v>1762</v>
      </c>
      <c r="C138" s="161" t="s">
        <v>1463</v>
      </c>
      <c r="M138" s="8"/>
      <c r="N138" s="250" t="s">
        <v>1762</v>
      </c>
      <c r="O138" s="1648"/>
      <c r="P138" s="356"/>
    </row>
    <row r="139" spans="1:17" ht="12" customHeight="1">
      <c r="A139" s="254" t="s">
        <v>1921</v>
      </c>
      <c r="B139" s="851" t="s">
        <v>2865</v>
      </c>
      <c r="C139" s="254" t="s">
        <v>3142</v>
      </c>
      <c r="D139" s="160"/>
      <c r="E139" s="666" t="s">
        <v>3648</v>
      </c>
      <c r="M139" s="3">
        <v>3</v>
      </c>
      <c r="N139" s="803" t="s">
        <v>2865</v>
      </c>
      <c r="O139" s="659">
        <f>IF($M140=5,3,IF($M140=4,2,0))</f>
        <v>3</v>
      </c>
      <c r="P139" s="85"/>
    </row>
    <row r="140" spans="1:17" ht="12" customHeight="1">
      <c r="B140" s="122"/>
      <c r="D140" s="40"/>
      <c r="E140" s="40"/>
      <c r="F140" s="40"/>
      <c r="G140" s="48"/>
      <c r="H140" s="48"/>
      <c r="I140" s="48"/>
      <c r="J140" s="48"/>
      <c r="L140" s="574" t="s">
        <v>688</v>
      </c>
      <c r="M140" s="1574">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8"/>
      <c r="B142" s="1579"/>
      <c r="C142" s="1579"/>
      <c r="D142" s="1579"/>
      <c r="E142" s="1579"/>
      <c r="F142" s="1579"/>
      <c r="G142" s="1579"/>
      <c r="H142" s="1579"/>
      <c r="I142" s="1579"/>
      <c r="J142" s="1579"/>
      <c r="K142" s="1579"/>
      <c r="L142" s="1579"/>
      <c r="M142" s="1579"/>
      <c r="N142" s="1579"/>
      <c r="O142" s="1579"/>
      <c r="P142" s="1580"/>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3459</v>
      </c>
      <c r="D146" s="49"/>
      <c r="E146" s="49"/>
      <c r="F146" s="49"/>
      <c r="H146" s="73"/>
      <c r="K146" s="56"/>
      <c r="L146" s="558" t="str">
        <f>IF(OR($O146=$M146,$O146=0,$O146=""),"","* * Check Score! * *")</f>
        <v/>
      </c>
      <c r="M146" s="3">
        <v>2</v>
      </c>
      <c r="N146" s="601" t="str">
        <f>IF(OR($O146=$M146,$O146=0,$O146=""),"","***")</f>
        <v/>
      </c>
      <c r="O146" s="1640">
        <v>2</v>
      </c>
      <c r="P146" s="85"/>
      <c r="Q146" s="148" t="s">
        <v>612</v>
      </c>
    </row>
    <row r="147" spans="1:17" ht="11.45" customHeight="1">
      <c r="B147" s="233" t="s">
        <v>2504</v>
      </c>
      <c r="E147" s="160"/>
      <c r="M147" s="573"/>
      <c r="N147" s="31"/>
      <c r="O147" s="31"/>
      <c r="P147" s="162" t="s">
        <v>3521</v>
      </c>
    </row>
    <row r="148" spans="1:17" s="583" customFormat="1" ht="11.45" customHeight="1">
      <c r="A148" s="575" t="s">
        <v>3418</v>
      </c>
      <c r="B148" s="716" t="s">
        <v>3460</v>
      </c>
      <c r="D148" s="717"/>
      <c r="M148" s="718"/>
      <c r="N148" s="575"/>
      <c r="O148" s="575" t="s">
        <v>3418</v>
      </c>
      <c r="P148" s="357"/>
    </row>
    <row r="149" spans="1:17" s="583" customFormat="1">
      <c r="A149" s="575" t="s">
        <v>3419</v>
      </c>
      <c r="B149" s="1208" t="s">
        <v>3753</v>
      </c>
      <c r="C149" s="1006"/>
      <c r="D149" s="1006"/>
      <c r="E149" s="1006"/>
      <c r="F149" s="1006"/>
      <c r="G149" s="1006"/>
      <c r="H149" s="1006"/>
      <c r="I149" s="1006"/>
      <c r="J149" s="1006"/>
      <c r="K149" s="1006"/>
      <c r="L149" s="1006"/>
      <c r="M149" s="1006"/>
      <c r="N149" s="1006"/>
      <c r="O149" s="575" t="s">
        <v>3419</v>
      </c>
      <c r="P149" s="719"/>
    </row>
    <row r="150" spans="1:17" s="583" customFormat="1">
      <c r="A150" s="575" t="s">
        <v>3420</v>
      </c>
      <c r="B150" s="1208" t="s">
        <v>3754</v>
      </c>
      <c r="C150" s="1179"/>
      <c r="D150" s="1179"/>
      <c r="E150" s="1179"/>
      <c r="F150" s="1179"/>
      <c r="G150" s="1179"/>
      <c r="H150" s="1179"/>
      <c r="I150" s="1179"/>
      <c r="J150" s="1179"/>
      <c r="K150" s="1179"/>
      <c r="L150" s="1179"/>
      <c r="M150" s="1179"/>
      <c r="N150" s="1179"/>
      <c r="O150" s="575" t="s">
        <v>3420</v>
      </c>
      <c r="P150" s="719"/>
    </row>
    <row r="151" spans="1:17" s="583" customFormat="1">
      <c r="A151" s="575" t="s">
        <v>3421</v>
      </c>
      <c r="B151" s="1121" t="s">
        <v>3755</v>
      </c>
      <c r="C151" s="1212"/>
      <c r="D151" s="1212"/>
      <c r="E151" s="1212"/>
      <c r="F151" s="1212"/>
      <c r="G151" s="1212"/>
      <c r="H151" s="1212"/>
      <c r="I151" s="1212"/>
      <c r="J151" s="1212"/>
      <c r="K151" s="1212"/>
      <c r="L151" s="1212"/>
      <c r="M151" s="1212"/>
      <c r="N151" s="1212"/>
      <c r="O151" s="575" t="s">
        <v>3421</v>
      </c>
      <c r="P151" s="719"/>
    </row>
    <row r="152" spans="1:17" s="583" customFormat="1" ht="23.45" customHeight="1">
      <c r="A152" s="575" t="s">
        <v>3422</v>
      </c>
      <c r="B152" s="1179" t="s">
        <v>3124</v>
      </c>
      <c r="C152" s="1006"/>
      <c r="D152" s="1006"/>
      <c r="E152" s="1006"/>
      <c r="F152" s="1006"/>
      <c r="G152" s="1006"/>
      <c r="H152" s="1006"/>
      <c r="I152" s="1006"/>
      <c r="J152" s="1006"/>
      <c r="K152" s="1006"/>
      <c r="L152" s="1006"/>
      <c r="M152" s="1006"/>
      <c r="N152" s="1006"/>
      <c r="O152" s="575" t="s">
        <v>3422</v>
      </c>
      <c r="P152" s="719"/>
    </row>
    <row r="153" spans="1:17" s="583" customFormat="1" ht="12.75" customHeight="1">
      <c r="A153" s="575" t="s">
        <v>3442</v>
      </c>
      <c r="B153" s="716" t="s">
        <v>3125</v>
      </c>
      <c r="M153" s="718"/>
      <c r="N153" s="575"/>
      <c r="O153" s="575" t="s">
        <v>3442</v>
      </c>
      <c r="P153" s="719"/>
    </row>
    <row r="154" spans="1:17" s="583" customFormat="1" ht="12.75" customHeight="1">
      <c r="A154" s="575" t="s">
        <v>3443</v>
      </c>
      <c r="B154" s="716" t="s">
        <v>2505</v>
      </c>
      <c r="M154" s="718"/>
      <c r="N154" s="575"/>
      <c r="O154" s="575" t="s">
        <v>3443</v>
      </c>
      <c r="P154" s="719"/>
    </row>
    <row r="155" spans="1:17" s="583" customFormat="1" ht="12.75" customHeight="1">
      <c r="A155" s="575" t="s">
        <v>3450</v>
      </c>
      <c r="B155" s="295" t="s">
        <v>2506</v>
      </c>
      <c r="M155" s="718"/>
      <c r="N155" s="575"/>
      <c r="O155" s="575" t="s">
        <v>3450</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50.25" customHeight="1">
      <c r="A157" s="1578" t="s">
        <v>4097</v>
      </c>
      <c r="B157" s="1579"/>
      <c r="C157" s="1579"/>
      <c r="D157" s="1579"/>
      <c r="E157" s="1579"/>
      <c r="F157" s="1579"/>
      <c r="G157" s="1579"/>
      <c r="H157" s="1579"/>
      <c r="I157" s="1579"/>
      <c r="J157" s="1579"/>
      <c r="K157" s="1579"/>
      <c r="L157" s="1579"/>
      <c r="M157" s="1579"/>
      <c r="N157" s="1579"/>
      <c r="O157" s="1579"/>
      <c r="P157" s="1580"/>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3143</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3144</v>
      </c>
      <c r="D162" s="73"/>
      <c r="E162" s="73"/>
      <c r="F162" s="52"/>
      <c r="G162" s="31"/>
      <c r="K162" s="803" t="s">
        <v>3962</v>
      </c>
      <c r="L162" s="1574" t="s">
        <v>3981</v>
      </c>
      <c r="M162" s="8">
        <v>1</v>
      </c>
      <c r="N162" s="803" t="s">
        <v>2862</v>
      </c>
      <c r="O162" s="1640">
        <v>1</v>
      </c>
      <c r="P162" s="85"/>
      <c r="Q162" s="148"/>
      <c r="R162" s="558" t="str">
        <f>IF(OR($O162=$M162,$O162=0,$O162=""),"","* * Check Score! * *")</f>
        <v/>
      </c>
    </row>
    <row r="163" spans="1:18" s="51" customFormat="1" ht="12" customHeight="1">
      <c r="A163" s="189" t="s">
        <v>2865</v>
      </c>
      <c r="B163" s="236" t="s">
        <v>3145</v>
      </c>
      <c r="D163" s="69"/>
      <c r="E163" s="38"/>
      <c r="F163" s="62" t="s">
        <v>3896</v>
      </c>
      <c r="K163" s="62"/>
      <c r="L163" s="558"/>
      <c r="M163" s="8">
        <v>1</v>
      </c>
      <c r="N163" s="803" t="s">
        <v>2865</v>
      </c>
      <c r="O163" s="1640"/>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8"/>
      <c r="B165" s="1579"/>
      <c r="C165" s="1579"/>
      <c r="D165" s="1579"/>
      <c r="E165" s="1579"/>
      <c r="F165" s="1579"/>
      <c r="G165" s="1579"/>
      <c r="H165" s="1579"/>
      <c r="I165" s="1579"/>
      <c r="J165" s="1579"/>
      <c r="K165" s="1579"/>
      <c r="L165" s="1579"/>
      <c r="M165" s="1579"/>
      <c r="N165" s="1579"/>
      <c r="O165" s="1579"/>
      <c r="P165" s="1580"/>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3878</v>
      </c>
      <c r="C169" s="116"/>
      <c r="D169" s="70"/>
      <c r="E169" s="62"/>
      <c r="J169" s="73"/>
      <c r="K169" s="733" t="s">
        <v>3931</v>
      </c>
      <c r="L169" s="800" t="str">
        <f>'Part I-Project Information'!E81</f>
        <v>Yes</v>
      </c>
      <c r="M169" s="3">
        <v>3</v>
      </c>
      <c r="N169" s="7"/>
      <c r="O169" s="7"/>
      <c r="P169" s="85"/>
      <c r="Q169" s="148" t="s">
        <v>612</v>
      </c>
    </row>
    <row r="170" spans="1:18" s="51" customFormat="1" ht="12" customHeight="1">
      <c r="A170" s="189"/>
      <c r="B170" s="65" t="s">
        <v>3286</v>
      </c>
      <c r="D170" s="40"/>
      <c r="N170" s="803"/>
      <c r="O170" s="1574"/>
      <c r="P170" s="232"/>
      <c r="R170" s="558"/>
    </row>
    <row r="171" spans="1:18" s="51" customFormat="1" ht="12" customHeight="1">
      <c r="A171" s="189"/>
      <c r="B171" s="65" t="s">
        <v>3945</v>
      </c>
      <c r="D171" s="40"/>
      <c r="N171" s="803"/>
      <c r="O171" s="1574"/>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78"/>
      <c r="B173" s="1579"/>
      <c r="C173" s="1579"/>
      <c r="D173" s="1579"/>
      <c r="E173" s="1579"/>
      <c r="F173" s="1579"/>
      <c r="G173" s="1579"/>
      <c r="H173" s="1579"/>
      <c r="I173" s="1579"/>
      <c r="J173" s="1579"/>
      <c r="K173" s="1579"/>
      <c r="L173" s="1579"/>
      <c r="M173" s="1579"/>
      <c r="N173" s="1579"/>
      <c r="O173" s="1579"/>
      <c r="P173" s="1580"/>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3947</v>
      </c>
      <c r="G177" s="159"/>
      <c r="H177" s="665"/>
      <c r="I177" s="159"/>
      <c r="J177" s="801">
        <f>'Part VI-Revenues &amp; Expenses'!$M$74</f>
        <v>60</v>
      </c>
      <c r="K177" s="159"/>
      <c r="L177" s="802" t="str">
        <f>IF(AND(J177=0,O177&gt;0),"&lt;&lt;&lt; Check NC units!","")</f>
        <v/>
      </c>
      <c r="M177" s="3">
        <v>3</v>
      </c>
      <c r="N177" s="601" t="str">
        <f>IF(OR($O177=$M177,$O177=0,$O177=""),"","***")</f>
        <v/>
      </c>
      <c r="O177" s="1640">
        <v>3</v>
      </c>
      <c r="P177" s="85"/>
      <c r="Q177" s="148" t="s">
        <v>612</v>
      </c>
      <c r="R177" s="31"/>
    </row>
    <row r="178" spans="1:18" s="75" customFormat="1" ht="25.15" customHeight="1">
      <c r="A178" s="209"/>
      <c r="B178" s="1096" t="s">
        <v>3946</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78"/>
      <c r="B180" s="1579"/>
      <c r="C180" s="1579"/>
      <c r="D180" s="1579"/>
      <c r="E180" s="1579"/>
      <c r="F180" s="1579"/>
      <c r="G180" s="1579"/>
      <c r="H180" s="1579"/>
      <c r="I180" s="1580"/>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0">
        <v>1</v>
      </c>
      <c r="P182" s="85"/>
      <c r="Q182" s="148" t="s">
        <v>612</v>
      </c>
    </row>
    <row r="183" spans="1:18" s="51" customFormat="1" ht="12.6" customHeight="1">
      <c r="A183" s="50"/>
      <c r="B183" s="154" t="s">
        <v>2713</v>
      </c>
      <c r="D183" s="134"/>
      <c r="E183" s="1664" t="s">
        <v>4071</v>
      </c>
      <c r="F183" s="1665"/>
      <c r="G183" s="1666"/>
      <c r="H183" s="1667"/>
      <c r="I183" s="61" t="s">
        <v>2712</v>
      </c>
      <c r="O183" s="162" t="s">
        <v>3521</v>
      </c>
      <c r="P183" s="162" t="s">
        <v>3521</v>
      </c>
    </row>
    <row r="184" spans="1:18" s="132" customFormat="1" ht="11.45" customHeight="1">
      <c r="A184" s="189" t="s">
        <v>2862</v>
      </c>
      <c r="B184" s="161" t="s">
        <v>2512</v>
      </c>
      <c r="D184" s="161"/>
      <c r="E184" s="161"/>
      <c r="F184" s="161"/>
      <c r="G184" s="1668" t="s">
        <v>1899</v>
      </c>
      <c r="H184" s="1669"/>
      <c r="I184" s="1670"/>
      <c r="J184" s="1668" t="s">
        <v>1715</v>
      </c>
      <c r="K184" s="1669"/>
      <c r="L184" s="1670"/>
      <c r="N184" s="803" t="s">
        <v>2862</v>
      </c>
      <c r="O184" s="1574" t="s">
        <v>3981</v>
      </c>
      <c r="P184" s="232"/>
    </row>
    <row r="185" spans="1:18" s="132" customFormat="1" ht="11.45" customHeight="1">
      <c r="A185" s="189" t="s">
        <v>2865</v>
      </c>
      <c r="B185" s="161" t="s">
        <v>475</v>
      </c>
      <c r="D185" s="161"/>
      <c r="E185" s="161"/>
      <c r="F185" s="161"/>
      <c r="G185" s="161"/>
      <c r="L185" s="161"/>
      <c r="M185" s="161"/>
      <c r="N185" s="803" t="s">
        <v>2865</v>
      </c>
      <c r="O185" s="1574" t="s">
        <v>3981</v>
      </c>
      <c r="P185" s="232"/>
    </row>
    <row r="186" spans="1:18" s="132" customFormat="1" ht="11.45" customHeight="1">
      <c r="A186" s="189" t="s">
        <v>1145</v>
      </c>
      <c r="B186" s="161" t="s">
        <v>2467</v>
      </c>
      <c r="D186" s="161"/>
      <c r="E186" s="161"/>
      <c r="F186" s="161"/>
      <c r="G186" s="161"/>
      <c r="H186" s="161"/>
      <c r="L186" s="161"/>
      <c r="M186" s="161"/>
      <c r="N186" s="803" t="s">
        <v>1145</v>
      </c>
      <c r="O186" s="1574" t="s">
        <v>3981</v>
      </c>
      <c r="P186" s="232"/>
    </row>
    <row r="187" spans="1:18" s="132" customFormat="1" ht="11.45" customHeight="1">
      <c r="A187" s="189" t="s">
        <v>3004</v>
      </c>
      <c r="B187" s="184" t="s">
        <v>3844</v>
      </c>
      <c r="D187" s="161"/>
      <c r="E187" s="161"/>
      <c r="F187" s="161"/>
      <c r="G187" s="161"/>
      <c r="H187" s="161"/>
      <c r="I187" s="161"/>
      <c r="J187" s="161"/>
      <c r="K187" s="161"/>
      <c r="L187" s="161"/>
      <c r="M187" s="161"/>
      <c r="N187" s="803" t="s">
        <v>3004</v>
      </c>
      <c r="O187" s="1574" t="s">
        <v>3981</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8"/>
      <c r="B189" s="1579"/>
      <c r="C189" s="1579"/>
      <c r="D189" s="1579"/>
      <c r="E189" s="1579"/>
      <c r="F189" s="1579"/>
      <c r="G189" s="1579"/>
      <c r="H189" s="1579"/>
      <c r="I189" s="1579"/>
      <c r="J189" s="1579"/>
      <c r="K189" s="1579"/>
      <c r="L189" s="1579"/>
      <c r="M189" s="1579"/>
      <c r="N189" s="1579"/>
      <c r="O189" s="1579"/>
      <c r="P189" s="1580"/>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2</v>
      </c>
      <c r="P193" s="77">
        <f>P201+P216+P218</f>
        <v>0</v>
      </c>
      <c r="Q193" s="148" t="s">
        <v>612</v>
      </c>
    </row>
    <row r="194" spans="1:18" s="51" customFormat="1" ht="12.75" customHeight="1">
      <c r="A194" s="50"/>
      <c r="B194" s="154" t="s">
        <v>3861</v>
      </c>
      <c r="E194" s="117"/>
      <c r="F194" s="62"/>
      <c r="G194" s="62"/>
      <c r="H194" s="62"/>
      <c r="I194" s="62"/>
      <c r="J194" s="64"/>
      <c r="K194" s="72"/>
      <c r="L194" s="68"/>
      <c r="O194" s="162" t="s">
        <v>3521</v>
      </c>
      <c r="P194" s="162" t="s">
        <v>3521</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47" t="s">
        <v>3981</v>
      </c>
      <c r="P195" s="355"/>
    </row>
    <row r="196" spans="1:18" s="132" customFormat="1" ht="11.25" customHeight="1">
      <c r="B196" s="715" t="s">
        <v>2868</v>
      </c>
      <c r="C196" s="132" t="s">
        <v>809</v>
      </c>
      <c r="N196" s="250" t="s">
        <v>2868</v>
      </c>
      <c r="O196" s="1652" t="s">
        <v>3981</v>
      </c>
      <c r="P196" s="541"/>
    </row>
    <row r="197" spans="1:18" s="132" customFormat="1" ht="11.25" customHeight="1">
      <c r="B197" s="715" t="s">
        <v>3548</v>
      </c>
      <c r="C197" s="132" t="s">
        <v>810</v>
      </c>
      <c r="N197" s="250" t="s">
        <v>3548</v>
      </c>
      <c r="O197" s="1652" t="s">
        <v>3981</v>
      </c>
      <c r="P197" s="541"/>
    </row>
    <row r="198" spans="1:18" s="132" customFormat="1" ht="11.25" customHeight="1">
      <c r="B198" s="715" t="s">
        <v>1762</v>
      </c>
      <c r="C198" s="132" t="s">
        <v>811</v>
      </c>
      <c r="N198" s="250" t="s">
        <v>1762</v>
      </c>
      <c r="O198" s="1652" t="s">
        <v>3981</v>
      </c>
      <c r="P198" s="541"/>
    </row>
    <row r="199" spans="1:18" s="132" customFormat="1" ht="11.25" customHeight="1">
      <c r="B199" s="715" t="s">
        <v>1763</v>
      </c>
      <c r="C199" s="132" t="s">
        <v>819</v>
      </c>
      <c r="N199" s="250" t="s">
        <v>1763</v>
      </c>
      <c r="O199" s="1648" t="s">
        <v>3981</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2</v>
      </c>
      <c r="P201" s="204">
        <f>IF($L$214&gt;=0.15, 4,IF($L$214&gt;=0.1, 3,IF($L$214&gt;=0.05, 2,IF($L$214&gt;=0.02, 1,0))))</f>
        <v>0</v>
      </c>
    </row>
    <row r="202" spans="1:18" ht="12" customHeight="1">
      <c r="B202" s="551" t="s">
        <v>2866</v>
      </c>
      <c r="C202" s="722" t="s">
        <v>3721</v>
      </c>
      <c r="I202" s="1180" t="s">
        <v>2870</v>
      </c>
      <c r="J202" s="1180"/>
      <c r="L202" s="862" t="s">
        <v>2870</v>
      </c>
      <c r="M202" s="216"/>
      <c r="N202" s="250" t="s">
        <v>2866</v>
      </c>
    </row>
    <row r="203" spans="1:18" s="51" customFormat="1" ht="11.25" customHeight="1">
      <c r="A203" s="251"/>
      <c r="B203" s="150"/>
      <c r="C203" s="552" t="s">
        <v>3418</v>
      </c>
      <c r="D203" s="44" t="s">
        <v>2073</v>
      </c>
      <c r="H203" s="65"/>
      <c r="I203" s="1671">
        <v>500000</v>
      </c>
      <c r="J203" s="1672"/>
      <c r="K203" s="253"/>
      <c r="L203" s="705"/>
      <c r="M203" s="89"/>
      <c r="N203" s="552" t="s">
        <v>3418</v>
      </c>
      <c r="O203" s="1647" t="s">
        <v>3981</v>
      </c>
      <c r="P203" s="355"/>
      <c r="R203" s="558"/>
    </row>
    <row r="204" spans="1:18" ht="11.25" customHeight="1">
      <c r="A204" s="252"/>
      <c r="B204" s="108"/>
      <c r="C204" s="575" t="s">
        <v>3419</v>
      </c>
      <c r="D204" s="44" t="s">
        <v>2074</v>
      </c>
      <c r="H204" s="65"/>
      <c r="I204" s="1671"/>
      <c r="J204" s="1672"/>
      <c r="L204" s="705"/>
      <c r="M204" s="89"/>
      <c r="N204" s="575" t="s">
        <v>3419</v>
      </c>
      <c r="O204" s="1652" t="s">
        <v>3979</v>
      </c>
      <c r="P204" s="541"/>
      <c r="R204" s="558"/>
    </row>
    <row r="205" spans="1:18" ht="11.25" customHeight="1">
      <c r="B205" s="715"/>
      <c r="C205" s="552" t="s">
        <v>3420</v>
      </c>
      <c r="D205" s="44" t="s">
        <v>3718</v>
      </c>
      <c r="H205" s="65"/>
      <c r="I205" s="1671"/>
      <c r="J205" s="1672"/>
      <c r="L205" s="705"/>
      <c r="M205" s="89"/>
      <c r="N205" s="552" t="s">
        <v>3420</v>
      </c>
      <c r="O205" s="1652" t="s">
        <v>3979</v>
      </c>
      <c r="P205" s="541"/>
      <c r="R205" s="558"/>
    </row>
    <row r="206" spans="1:18" ht="11.25" customHeight="1">
      <c r="A206" s="252"/>
      <c r="B206" s="715"/>
      <c r="C206" s="552" t="s">
        <v>3421</v>
      </c>
      <c r="D206" s="44" t="s">
        <v>3719</v>
      </c>
      <c r="I206" s="1671"/>
      <c r="J206" s="1672"/>
      <c r="L206" s="705"/>
      <c r="M206" s="89"/>
      <c r="N206" s="552" t="s">
        <v>3421</v>
      </c>
      <c r="O206" s="1652" t="s">
        <v>3979</v>
      </c>
      <c r="P206" s="541"/>
      <c r="R206" s="558"/>
    </row>
    <row r="207" spans="1:18" s="51" customFormat="1" ht="11.25" customHeight="1">
      <c r="A207" s="251"/>
      <c r="B207" s="715"/>
      <c r="C207" s="575" t="s">
        <v>3422</v>
      </c>
      <c r="D207" s="44" t="s">
        <v>2075</v>
      </c>
      <c r="H207" s="65"/>
      <c r="I207" s="1671"/>
      <c r="J207" s="1672"/>
      <c r="K207" s="253"/>
      <c r="L207" s="705"/>
      <c r="M207" s="89"/>
      <c r="N207" s="575" t="s">
        <v>3422</v>
      </c>
      <c r="O207" s="1652" t="s">
        <v>3979</v>
      </c>
      <c r="P207" s="541"/>
      <c r="R207" s="558"/>
    </row>
    <row r="208" spans="1:18" ht="11.25" customHeight="1">
      <c r="A208" s="252"/>
      <c r="B208" s="715"/>
      <c r="C208" s="552" t="s">
        <v>3442</v>
      </c>
      <c r="D208" s="44" t="s">
        <v>2076</v>
      </c>
      <c r="H208" s="65"/>
      <c r="I208" s="1671"/>
      <c r="J208" s="1672"/>
      <c r="L208" s="705"/>
      <c r="M208" s="89"/>
      <c r="N208" s="552" t="s">
        <v>3442</v>
      </c>
      <c r="O208" s="1652" t="s">
        <v>3979</v>
      </c>
      <c r="P208" s="541"/>
      <c r="R208" s="558"/>
    </row>
    <row r="209" spans="1:18" ht="11.25" customHeight="1">
      <c r="A209" s="252"/>
      <c r="B209" s="715"/>
      <c r="C209" s="552" t="s">
        <v>3443</v>
      </c>
      <c r="D209" s="44" t="s">
        <v>2077</v>
      </c>
      <c r="H209" s="65"/>
      <c r="I209" s="1671"/>
      <c r="J209" s="1672"/>
      <c r="L209" s="705"/>
      <c r="M209" s="89"/>
      <c r="N209" s="552" t="s">
        <v>3443</v>
      </c>
      <c r="O209" s="1652" t="s">
        <v>3979</v>
      </c>
      <c r="P209" s="541"/>
      <c r="R209" s="558"/>
    </row>
    <row r="210" spans="1:18" ht="11.25" customHeight="1" thickBot="1">
      <c r="A210" s="252"/>
      <c r="B210" s="715"/>
      <c r="C210" s="552" t="s">
        <v>3450</v>
      </c>
      <c r="D210" s="701" t="s">
        <v>3720</v>
      </c>
      <c r="E210" s="702"/>
      <c r="F210" s="702"/>
      <c r="G210" s="702"/>
      <c r="H210" s="703"/>
      <c r="I210" s="1673"/>
      <c r="J210" s="1674"/>
      <c r="L210" s="709"/>
      <c r="M210" s="89"/>
      <c r="N210" s="552" t="s">
        <v>3450</v>
      </c>
      <c r="O210" s="1648" t="s">
        <v>3979</v>
      </c>
      <c r="P210" s="356"/>
      <c r="R210" s="558"/>
    </row>
    <row r="211" spans="1:18" ht="12" customHeight="1" thickBot="1">
      <c r="A211" s="252"/>
      <c r="B211" s="715"/>
      <c r="D211" s="699" t="s">
        <v>3723</v>
      </c>
      <c r="H211" s="65"/>
      <c r="I211" s="1675">
        <f>SUM(I203:J210)</f>
        <v>500000</v>
      </c>
      <c r="J211" s="1676"/>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3722</v>
      </c>
      <c r="D213" s="699" t="s">
        <v>3724</v>
      </c>
      <c r="I213" s="1181">
        <f>'Part IV-Uses of Funds'!$G$123</f>
        <v>9723986</v>
      </c>
      <c r="J213" s="1182"/>
      <c r="M213" s="216"/>
      <c r="N213" s="31"/>
      <c r="O213" s="31"/>
      <c r="P213" s="31"/>
    </row>
    <row r="214" spans="1:18" ht="12" customHeight="1">
      <c r="B214" s="250"/>
      <c r="C214" s="698"/>
      <c r="D214" s="720" t="s">
        <v>3725</v>
      </c>
      <c r="G214" s="708"/>
      <c r="H214" s="708"/>
      <c r="I214" s="1183">
        <f>IF($I$213=0,0,$I$211/$I$213)</f>
        <v>5.1419243096401002E-2</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3897</v>
      </c>
      <c r="D216" s="47"/>
      <c r="E216" s="44"/>
      <c r="F216" s="1"/>
      <c r="G216" s="38" t="s">
        <v>3898</v>
      </c>
      <c r="H216" s="44"/>
      <c r="I216" s="1"/>
      <c r="J216" s="38"/>
      <c r="K216" s="38"/>
      <c r="L216" s="38"/>
      <c r="M216" s="89">
        <v>1</v>
      </c>
      <c r="N216" s="803" t="s">
        <v>2865</v>
      </c>
      <c r="O216" s="157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7"/>
      <c r="F219" s="1678"/>
      <c r="G219" s="1678"/>
      <c r="H219" s="1679"/>
      <c r="K219" s="253"/>
      <c r="M219" s="7"/>
      <c r="N219" s="7"/>
      <c r="O219" s="7"/>
      <c r="P219" s="7"/>
    </row>
    <row r="220" spans="1:18" ht="12" customHeight="1">
      <c r="A220" s="252"/>
      <c r="B220" s="582" t="s">
        <v>3320</v>
      </c>
      <c r="D220" s="583"/>
      <c r="E220" s="1680"/>
      <c r="F220" s="1681"/>
      <c r="G220" s="1681"/>
      <c r="H220" s="1681"/>
      <c r="I220" s="1681"/>
      <c r="J220" s="1681"/>
      <c r="K220" s="1681"/>
      <c r="L220" s="1681"/>
      <c r="M220" s="1681"/>
      <c r="N220" s="1681"/>
      <c r="O220" s="1681"/>
      <c r="P220" s="1313"/>
    </row>
    <row r="221" spans="1:18" ht="12.6" customHeight="1">
      <c r="B221" s="44" t="s">
        <v>3862</v>
      </c>
      <c r="E221" s="704"/>
      <c r="I221" s="1682"/>
      <c r="J221" s="1683"/>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8" t="s">
        <v>4098</v>
      </c>
      <c r="B224" s="1579"/>
      <c r="C224" s="1579"/>
      <c r="D224" s="1579"/>
      <c r="E224" s="1579"/>
      <c r="F224" s="1579"/>
      <c r="G224" s="1579"/>
      <c r="H224" s="1579"/>
      <c r="I224" s="1579"/>
      <c r="J224" s="1579"/>
      <c r="K224" s="1579"/>
      <c r="L224" s="1579"/>
      <c r="M224" s="1579"/>
      <c r="N224" s="1579"/>
      <c r="O224" s="1579"/>
      <c r="P224" s="1580"/>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3658</v>
      </c>
      <c r="D229" s="40"/>
      <c r="H229" s="65" t="s">
        <v>3286</v>
      </c>
      <c r="N229" s="803" t="s">
        <v>2862</v>
      </c>
      <c r="O229" s="1647"/>
      <c r="P229" s="355"/>
      <c r="R229" s="558"/>
    </row>
    <row r="230" spans="1:18" s="51" customFormat="1" ht="24.6" customHeight="1">
      <c r="A230" s="50"/>
      <c r="B230" s="1185" t="s">
        <v>3641</v>
      </c>
      <c r="C230" s="1186"/>
      <c r="D230" s="1186"/>
      <c r="E230" s="1186"/>
      <c r="F230" s="1186"/>
      <c r="G230" s="1186"/>
      <c r="H230" s="1186"/>
      <c r="I230" s="1186"/>
      <c r="J230" s="1186"/>
      <c r="K230" s="1186"/>
      <c r="L230" s="1186"/>
      <c r="M230" s="54"/>
      <c r="N230" s="74"/>
      <c r="O230" s="1648"/>
      <c r="P230" s="356"/>
    </row>
    <row r="231" spans="1:18" s="51" customFormat="1" ht="12" customHeight="1">
      <c r="A231" s="189" t="s">
        <v>2865</v>
      </c>
      <c r="B231" s="236" t="s">
        <v>3726</v>
      </c>
      <c r="D231" s="40"/>
      <c r="E231" s="40"/>
      <c r="F231" s="40"/>
      <c r="H231" s="65" t="s">
        <v>3286</v>
      </c>
      <c r="N231" s="803" t="s">
        <v>2865</v>
      </c>
      <c r="O231" s="1574"/>
      <c r="P231" s="232"/>
      <c r="R231" s="558"/>
    </row>
    <row r="232" spans="1:18" s="51" customFormat="1" ht="12" customHeight="1">
      <c r="A232" s="50"/>
      <c r="B232" s="65" t="s">
        <v>3729</v>
      </c>
      <c r="D232" s="47"/>
      <c r="E232" s="44"/>
      <c r="F232" s="1"/>
      <c r="G232" s="1"/>
      <c r="H232" s="1"/>
      <c r="I232" s="1"/>
      <c r="J232" s="38"/>
      <c r="K232" s="38"/>
      <c r="L232" s="38"/>
      <c r="M232" s="823"/>
      <c r="N232" s="1"/>
      <c r="O232" s="854"/>
      <c r="P232" s="4"/>
    </row>
    <row r="233" spans="1:18" s="132" customFormat="1" ht="11.25" customHeight="1">
      <c r="B233" s="551" t="s">
        <v>2866</v>
      </c>
      <c r="C233" s="697" t="s">
        <v>3727</v>
      </c>
      <c r="E233" s="117"/>
      <c r="F233" s="62"/>
      <c r="G233" s="62"/>
      <c r="H233" s="62"/>
      <c r="I233" s="62"/>
      <c r="J233" s="64"/>
      <c r="K233" s="72"/>
      <c r="L233" s="68" t="str">
        <f>IF(M233&gt;14,"Over limit!","")</f>
        <v/>
      </c>
      <c r="N233" s="250" t="s">
        <v>2866</v>
      </c>
      <c r="O233" s="1647"/>
      <c r="P233" s="355"/>
    </row>
    <row r="234" spans="1:18" s="132" customFormat="1" ht="11.25" customHeight="1">
      <c r="B234" s="551" t="s">
        <v>2868</v>
      </c>
      <c r="C234" s="697" t="s">
        <v>3728</v>
      </c>
      <c r="N234" s="250" t="s">
        <v>2868</v>
      </c>
      <c r="O234" s="1652"/>
      <c r="P234" s="541"/>
    </row>
    <row r="235" spans="1:18" s="132" customFormat="1" ht="11.25" customHeight="1">
      <c r="B235" s="551" t="s">
        <v>3548</v>
      </c>
      <c r="C235" s="697" t="s">
        <v>3730</v>
      </c>
      <c r="N235" s="250" t="s">
        <v>3548</v>
      </c>
      <c r="O235" s="1652"/>
      <c r="P235" s="541"/>
    </row>
    <row r="236" spans="1:18" s="132" customFormat="1" ht="11.25" customHeight="1">
      <c r="B236" s="551" t="s">
        <v>1762</v>
      </c>
      <c r="C236" s="697" t="s">
        <v>3731</v>
      </c>
      <c r="N236" s="250" t="s">
        <v>1762</v>
      </c>
      <c r="O236" s="1648"/>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78"/>
      <c r="B238" s="1579"/>
      <c r="C238" s="1579"/>
      <c r="D238" s="1579"/>
      <c r="E238" s="1579"/>
      <c r="F238" s="1579"/>
      <c r="G238" s="1579"/>
      <c r="H238" s="1579"/>
      <c r="I238" s="1579"/>
      <c r="J238" s="1579"/>
      <c r="K238" s="1579"/>
      <c r="L238" s="1579"/>
      <c r="M238" s="1579"/>
      <c r="N238" s="1579"/>
      <c r="O238" s="1579"/>
      <c r="P238" s="1580"/>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3732</v>
      </c>
      <c r="D243" s="40"/>
      <c r="E243" s="40"/>
      <c r="F243" s="40"/>
      <c r="L243" s="558" t="str">
        <f>IF(OR($O243=$M243,$O243=0,$O243=""),"","* * Check Score! * *")</f>
        <v/>
      </c>
      <c r="M243" s="7">
        <v>3</v>
      </c>
      <c r="N243" s="803" t="s">
        <v>2862</v>
      </c>
      <c r="O243" s="1684">
        <v>3</v>
      </c>
      <c r="P243" s="743"/>
      <c r="Q243" s="148"/>
      <c r="R243" s="558" t="str">
        <f>IF(OR($O243=$M243,$O243=0,$O243=""),"","* * Check Score! * *")</f>
        <v/>
      </c>
    </row>
    <row r="244" spans="1:18" s="51" customFormat="1" ht="36" customHeight="1">
      <c r="A244" s="189"/>
      <c r="B244" s="1213" t="s">
        <v>3734</v>
      </c>
      <c r="C244" s="1213"/>
      <c r="D244" s="1213"/>
      <c r="E244" s="1213"/>
      <c r="F244" s="1213"/>
      <c r="G244" s="1213"/>
      <c r="H244" s="1213"/>
      <c r="I244" s="1213"/>
      <c r="J244" s="1213"/>
      <c r="K244" s="1213"/>
      <c r="L244" s="1213"/>
      <c r="M244" s="558"/>
      <c r="N244" s="558"/>
      <c r="O244" s="1685" t="s">
        <v>4047</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3733</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84"/>
      <c r="P247" s="743"/>
    </row>
    <row r="248" spans="1:18" s="655" customFormat="1" ht="24" customHeight="1">
      <c r="A248" s="711" t="s">
        <v>1921</v>
      </c>
      <c r="B248" s="723" t="s">
        <v>2868</v>
      </c>
      <c r="C248" s="1162" t="s">
        <v>3760</v>
      </c>
      <c r="D248" s="1162"/>
      <c r="E248" s="1162"/>
      <c r="F248" s="1162"/>
      <c r="G248" s="1162"/>
      <c r="H248" s="1162"/>
      <c r="I248" s="1162"/>
      <c r="J248" s="1162"/>
      <c r="K248" s="1162"/>
      <c r="L248" s="1162"/>
      <c r="M248" s="656">
        <v>1</v>
      </c>
      <c r="O248" s="1685"/>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78"/>
      <c r="B250" s="1579"/>
      <c r="C250" s="1579"/>
      <c r="D250" s="1579"/>
      <c r="E250" s="1579"/>
      <c r="F250" s="1579"/>
      <c r="G250" s="1579"/>
      <c r="H250" s="1579"/>
      <c r="I250" s="1579"/>
      <c r="J250" s="1579"/>
      <c r="K250" s="1579"/>
      <c r="L250" s="1579"/>
      <c r="M250" s="1579"/>
      <c r="N250" s="1579"/>
      <c r="O250" s="1579"/>
      <c r="P250" s="1580"/>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3562</v>
      </c>
      <c r="M255" s="50"/>
      <c r="N255" s="50"/>
      <c r="O255" s="1574" t="s">
        <v>3981</v>
      </c>
      <c r="P255" s="232"/>
    </row>
    <row r="256" spans="1:18" ht="12.6" customHeight="1">
      <c r="A256" s="189" t="s">
        <v>2862</v>
      </c>
      <c r="B256" s="254" t="s">
        <v>2020</v>
      </c>
      <c r="D256" s="40"/>
      <c r="E256" s="40"/>
      <c r="F256" s="40"/>
      <c r="G256" s="40"/>
      <c r="H256" s="40"/>
      <c r="I256" s="40"/>
      <c r="J256" s="40"/>
      <c r="K256" s="40"/>
      <c r="L256" s="40"/>
      <c r="M256" s="157"/>
      <c r="N256" s="803" t="s">
        <v>2862</v>
      </c>
      <c r="O256" s="1686">
        <v>10</v>
      </c>
      <c r="P256" s="580"/>
    </row>
    <row r="257" spans="1:18" ht="12.6" customHeight="1">
      <c r="A257" s="189" t="s">
        <v>2865</v>
      </c>
      <c r="B257" s="254" t="s">
        <v>325</v>
      </c>
      <c r="D257" s="40"/>
      <c r="E257" s="40"/>
      <c r="F257" s="40"/>
      <c r="G257" s="48"/>
      <c r="H257" s="48"/>
      <c r="I257" s="48"/>
      <c r="J257" s="48"/>
      <c r="K257" s="48"/>
      <c r="M257" s="134"/>
      <c r="N257" s="803" t="s">
        <v>2865</v>
      </c>
      <c r="O257" s="1574" t="s">
        <v>4072</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78"/>
      <c r="B259" s="1579"/>
      <c r="C259" s="1579"/>
      <c r="D259" s="1579"/>
      <c r="E259" s="1579"/>
      <c r="F259" s="1579"/>
      <c r="G259" s="1579"/>
      <c r="H259" s="1579"/>
      <c r="I259" s="1579"/>
      <c r="J259" s="1579"/>
      <c r="K259" s="1579"/>
      <c r="L259" s="1579"/>
      <c r="M259" s="1579"/>
      <c r="N259" s="1579"/>
      <c r="O259" s="1579"/>
      <c r="P259" s="1580"/>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3735</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3736</v>
      </c>
      <c r="D264" s="73" t="s">
        <v>3966</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3737</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3948</v>
      </c>
      <c r="D266" s="582"/>
      <c r="E266" s="582"/>
      <c r="F266" s="582"/>
      <c r="G266" s="582"/>
      <c r="H266" s="582"/>
      <c r="I266" s="582"/>
      <c r="J266" s="858"/>
      <c r="K266" s="858"/>
      <c r="L266" s="858"/>
      <c r="M266" s="714"/>
      <c r="O266" s="1640"/>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3949</v>
      </c>
      <c r="D268" s="1162"/>
      <c r="E268" s="1162"/>
      <c r="F268" s="1162"/>
      <c r="G268" s="1162"/>
      <c r="H268" s="1162"/>
      <c r="I268" s="1162"/>
      <c r="J268" s="1162"/>
      <c r="K268" s="1162"/>
      <c r="L268" s="1162"/>
      <c r="M268" s="714"/>
      <c r="N268" s="656"/>
      <c r="O268" s="1687"/>
      <c r="P268" s="712"/>
    </row>
    <row r="269" spans="1:18" s="655" customFormat="1" ht="12" customHeight="1">
      <c r="A269" s="713" t="s">
        <v>1921</v>
      </c>
      <c r="B269" s="723" t="s">
        <v>3548</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3418</v>
      </c>
      <c r="C270" s="1171" t="s">
        <v>3950</v>
      </c>
      <c r="D270" s="1171"/>
      <c r="E270" s="1171"/>
      <c r="F270" s="1171"/>
      <c r="G270" s="1171"/>
      <c r="H270" s="1171"/>
      <c r="I270" s="1171"/>
      <c r="J270" s="1171"/>
      <c r="K270" s="1171"/>
      <c r="L270" s="1171"/>
      <c r="M270" s="656"/>
      <c r="N270" s="575" t="s">
        <v>3418</v>
      </c>
      <c r="O270" s="1688"/>
      <c r="P270" s="740"/>
    </row>
    <row r="271" spans="1:18" s="655" customFormat="1" ht="22.5" customHeight="1">
      <c r="A271" s="654"/>
      <c r="B271" s="575" t="s">
        <v>3419</v>
      </c>
      <c r="C271" s="1162" t="s">
        <v>3761</v>
      </c>
      <c r="D271" s="1162"/>
      <c r="E271" s="1162"/>
      <c r="F271" s="1162"/>
      <c r="G271" s="1162"/>
      <c r="H271" s="1162"/>
      <c r="I271" s="1162"/>
      <c r="J271" s="1162"/>
      <c r="K271" s="1162"/>
      <c r="L271" s="1162"/>
      <c r="M271" s="656"/>
      <c r="N271" s="575" t="s">
        <v>3419</v>
      </c>
      <c r="O271" s="1689"/>
      <c r="P271" s="741"/>
    </row>
    <row r="272" spans="1:18" s="655" customFormat="1" ht="22.5" customHeight="1">
      <c r="A272" s="654"/>
      <c r="B272" s="575" t="s">
        <v>3420</v>
      </c>
      <c r="C272" s="1162" t="s">
        <v>3738</v>
      </c>
      <c r="D272" s="1162"/>
      <c r="E272" s="1162"/>
      <c r="F272" s="1162"/>
      <c r="G272" s="1162"/>
      <c r="H272" s="1162"/>
      <c r="I272" s="1162"/>
      <c r="J272" s="1162"/>
      <c r="K272" s="1162"/>
      <c r="L272" s="1162"/>
      <c r="M272" s="656"/>
      <c r="N272" s="575" t="s">
        <v>3420</v>
      </c>
      <c r="O272" s="1690"/>
      <c r="P272" s="742"/>
    </row>
    <row r="273" spans="1:18" ht="13.5" customHeight="1">
      <c r="A273" s="189" t="s">
        <v>2865</v>
      </c>
      <c r="B273" s="236" t="s">
        <v>3739</v>
      </c>
      <c r="D273" s="40"/>
      <c r="E273" s="73" t="s">
        <v>3965</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3740</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3418</v>
      </c>
      <c r="C275" s="1162" t="s">
        <v>3742</v>
      </c>
      <c r="D275" s="1162"/>
      <c r="E275" s="1162"/>
      <c r="F275" s="1162"/>
      <c r="G275" s="1162"/>
      <c r="H275" s="1162"/>
      <c r="I275" s="1162"/>
      <c r="J275" s="1162"/>
      <c r="K275" s="1162"/>
      <c r="L275" s="1162"/>
      <c r="M275" s="656">
        <v>4</v>
      </c>
      <c r="N275" s="575" t="s">
        <v>3418</v>
      </c>
      <c r="O275" s="1688"/>
      <c r="P275" s="740"/>
    </row>
    <row r="276" spans="1:18" s="655" customFormat="1" ht="22.5" customHeight="1">
      <c r="A276" s="219" t="s">
        <v>3762</v>
      </c>
      <c r="B276" s="575" t="s">
        <v>3419</v>
      </c>
      <c r="C276" s="1162" t="s">
        <v>3743</v>
      </c>
      <c r="D276" s="1162"/>
      <c r="E276" s="1162"/>
      <c r="F276" s="1162"/>
      <c r="G276" s="1162"/>
      <c r="H276" s="1162"/>
      <c r="I276" s="1162"/>
      <c r="J276" s="1162"/>
      <c r="K276" s="1162"/>
      <c r="L276" s="1162"/>
      <c r="M276" s="656">
        <v>2</v>
      </c>
      <c r="N276" s="575" t="s">
        <v>3419</v>
      </c>
      <c r="O276" s="1690"/>
      <c r="P276" s="742"/>
    </row>
    <row r="277" spans="1:18" s="132" customFormat="1" ht="12" customHeight="1">
      <c r="B277" s="551" t="s">
        <v>2868</v>
      </c>
      <c r="C277" s="724" t="s">
        <v>3741</v>
      </c>
      <c r="L277" s="558" t="str">
        <f>IF(OR($O277=$M277,$O277=0,$O277=""),"","* * Check Score! * *")</f>
        <v/>
      </c>
      <c r="M277" s="8">
        <v>1</v>
      </c>
      <c r="N277" s="250" t="s">
        <v>2868</v>
      </c>
      <c r="O277" s="1640"/>
      <c r="P277" s="85"/>
    </row>
    <row r="278" spans="1:18" s="132" customFormat="1" ht="12" customHeight="1">
      <c r="B278" s="551" t="s">
        <v>3548</v>
      </c>
      <c r="C278" s="724" t="s">
        <v>3744</v>
      </c>
      <c r="L278" s="558" t="str">
        <f>IF(OR($O278=$M278,$O278=0,$O278=""),"","* * Check Score! * *")</f>
        <v/>
      </c>
      <c r="M278" s="8">
        <v>2</v>
      </c>
      <c r="N278" s="250" t="s">
        <v>3548</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3418</v>
      </c>
      <c r="C279" s="1162" t="s">
        <v>3746</v>
      </c>
      <c r="D279" s="1162"/>
      <c r="E279" s="1162"/>
      <c r="F279" s="1162"/>
      <c r="G279" s="1162"/>
      <c r="H279" s="1162"/>
      <c r="I279" s="1162"/>
      <c r="J279" s="1162"/>
      <c r="K279" s="1162"/>
      <c r="L279" s="1162"/>
      <c r="M279" s="656">
        <v>2</v>
      </c>
      <c r="N279" s="575" t="s">
        <v>3418</v>
      </c>
      <c r="O279" s="1684"/>
      <c r="P279" s="743"/>
    </row>
    <row r="280" spans="1:18" s="655" customFormat="1" ht="12" customHeight="1">
      <c r="A280" s="219" t="s">
        <v>3762</v>
      </c>
      <c r="B280" s="575" t="s">
        <v>3419</v>
      </c>
      <c r="C280" s="1162" t="s">
        <v>3745</v>
      </c>
      <c r="D280" s="1162"/>
      <c r="E280" s="1162"/>
      <c r="F280" s="1162"/>
      <c r="G280" s="1162"/>
      <c r="H280" s="1162"/>
      <c r="I280" s="1162"/>
      <c r="J280" s="1162"/>
      <c r="K280" s="1162"/>
      <c r="L280" s="1162"/>
      <c r="M280" s="656">
        <v>1</v>
      </c>
      <c r="N280" s="575" t="s">
        <v>3419</v>
      </c>
      <c r="O280" s="1685"/>
      <c r="P280" s="744"/>
    </row>
    <row r="281" spans="1:18" s="132" customFormat="1" ht="12" customHeight="1">
      <c r="B281" s="551" t="s">
        <v>1762</v>
      </c>
      <c r="C281" s="724" t="s">
        <v>3747</v>
      </c>
      <c r="F281" s="697" t="s">
        <v>3863</v>
      </c>
      <c r="L281" s="558"/>
      <c r="M281" s="8">
        <v>2</v>
      </c>
      <c r="N281" s="250" t="s">
        <v>1762</v>
      </c>
      <c r="O281" s="1640"/>
      <c r="P281" s="85"/>
    </row>
    <row r="282" spans="1:18" s="132" customFormat="1" ht="12" customHeight="1">
      <c r="B282" s="551" t="s">
        <v>1763</v>
      </c>
      <c r="C282" s="724" t="s">
        <v>3748</v>
      </c>
      <c r="F282" s="697" t="s">
        <v>3750</v>
      </c>
      <c r="J282" s="1209">
        <f>'Part IV-Uses of Funds'!$B$39/'Part IV-Uses of Funds'!$G$123</f>
        <v>0.61465503961029977</v>
      </c>
      <c r="K282" s="1210"/>
      <c r="L282" s="558"/>
      <c r="M282" s="8">
        <v>2</v>
      </c>
      <c r="N282" s="250" t="s">
        <v>1763</v>
      </c>
      <c r="O282" s="1640"/>
      <c r="P282" s="85"/>
    </row>
    <row r="283" spans="1:18" s="132" customFormat="1" ht="12" customHeight="1">
      <c r="B283" s="551" t="s">
        <v>2757</v>
      </c>
      <c r="C283" s="724" t="s">
        <v>3749</v>
      </c>
      <c r="F283" s="697" t="s">
        <v>3951</v>
      </c>
      <c r="L283" s="558"/>
      <c r="M283" s="8">
        <v>3</v>
      </c>
      <c r="N283" s="250" t="s">
        <v>2757</v>
      </c>
      <c r="P283" s="85"/>
    </row>
    <row r="284" spans="1:18" s="51" customFormat="1" ht="12" customHeight="1">
      <c r="A284" s="189"/>
      <c r="B284" s="575" t="s">
        <v>3418</v>
      </c>
      <c r="C284" s="65" t="s">
        <v>3286</v>
      </c>
      <c r="D284" s="40"/>
      <c r="N284" s="803"/>
      <c r="O284" s="1574"/>
      <c r="P284" s="232"/>
      <c r="R284" s="558"/>
    </row>
    <row r="285" spans="1:18" s="51" customFormat="1" ht="12" customHeight="1">
      <c r="A285" s="189"/>
      <c r="B285" s="575" t="s">
        <v>3419</v>
      </c>
      <c r="C285" s="65" t="s">
        <v>3945</v>
      </c>
      <c r="D285" s="40"/>
      <c r="N285" s="803"/>
      <c r="O285" s="157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8"/>
      <c r="B287" s="1579"/>
      <c r="C287" s="1579"/>
      <c r="D287" s="1579"/>
      <c r="E287" s="1579"/>
      <c r="F287" s="1579"/>
      <c r="G287" s="1579"/>
      <c r="H287" s="1579"/>
      <c r="I287" s="1579"/>
      <c r="J287" s="1579"/>
      <c r="K287" s="1579"/>
      <c r="L287" s="1579"/>
      <c r="M287" s="1579"/>
      <c r="N287" s="1579"/>
      <c r="O287" s="1579"/>
      <c r="P287" s="1580"/>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3860</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55</v>
      </c>
      <c r="P291" s="214">
        <f>P8+P30+P38+P49+P58+P67+P74+P90+P132+P146+P161+P169+P177+P182+P193+P228+P242+P254+P263</f>
        <v>13</v>
      </c>
    </row>
    <row r="292" spans="1:19" s="50" customFormat="1" ht="13.5" customHeight="1">
      <c r="A292" s="64"/>
      <c r="B292" s="81"/>
      <c r="C292" s="64"/>
      <c r="D292" s="43"/>
      <c r="E292" s="43"/>
      <c r="F292" s="83"/>
      <c r="G292" s="83"/>
      <c r="H292" s="236" t="s">
        <v>3899</v>
      </c>
      <c r="I292" s="82"/>
      <c r="J292" s="82"/>
      <c r="K292" s="82"/>
      <c r="L292" s="51"/>
      <c r="M292" s="43"/>
      <c r="N292" s="3"/>
      <c r="O292" s="793">
        <f>O291-O263</f>
        <v>55</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3568</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3511</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3195</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3534</v>
      </c>
      <c r="H322" s="812" t="s">
        <v>3535</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3555</v>
      </c>
      <c r="I325" s="813" t="s">
        <v>1899</v>
      </c>
      <c r="J325" s="167"/>
      <c r="K325" s="167"/>
      <c r="L325" s="167"/>
      <c r="M325" s="248"/>
      <c r="N325" s="249"/>
    </row>
    <row r="326" spans="1:14" ht="25.5">
      <c r="A326" s="156"/>
      <c r="B326" s="156"/>
      <c r="C326" s="167"/>
      <c r="D326" s="167"/>
      <c r="E326" s="167"/>
      <c r="F326" s="167"/>
      <c r="G326" s="812" t="s">
        <v>12</v>
      </c>
      <c r="H326" s="813" t="s">
        <v>3556</v>
      </c>
      <c r="I326" s="813" t="s">
        <v>3485</v>
      </c>
      <c r="J326" s="167"/>
      <c r="K326" s="167"/>
      <c r="L326" s="167"/>
      <c r="M326" s="248"/>
      <c r="N326" s="249"/>
    </row>
    <row r="327" spans="1:14">
      <c r="A327" s="156"/>
      <c r="B327" s="156"/>
      <c r="C327" s="167"/>
      <c r="D327" s="167"/>
      <c r="E327" s="167"/>
      <c r="F327" s="167"/>
      <c r="G327" s="812" t="s">
        <v>1899</v>
      </c>
      <c r="H327" s="813" t="s">
        <v>2806</v>
      </c>
      <c r="I327" s="813" t="s">
        <v>3491</v>
      </c>
      <c r="J327" s="167"/>
      <c r="K327" s="167"/>
      <c r="L327" s="167"/>
      <c r="M327" s="248"/>
      <c r="N327" s="249"/>
    </row>
    <row r="328" spans="1:14">
      <c r="A328" s="156"/>
      <c r="B328" s="156"/>
      <c r="C328" s="167"/>
      <c r="D328" s="167"/>
      <c r="E328" s="167"/>
      <c r="F328" s="167"/>
      <c r="G328" s="812" t="s">
        <v>2102</v>
      </c>
      <c r="H328" s="813" t="s">
        <v>3192</v>
      </c>
      <c r="I328" s="813" t="s">
        <v>3493</v>
      </c>
      <c r="J328" s="167"/>
      <c r="K328" s="167"/>
      <c r="L328" s="167"/>
      <c r="M328" s="248"/>
      <c r="N328" s="249"/>
    </row>
    <row r="329" spans="1:14">
      <c r="A329" s="156"/>
      <c r="B329" s="156"/>
      <c r="C329" s="167"/>
      <c r="D329" s="167"/>
      <c r="E329" s="167"/>
      <c r="F329" s="167"/>
      <c r="G329" s="812" t="s">
        <v>1528</v>
      </c>
      <c r="H329" s="813" t="s">
        <v>3557</v>
      </c>
      <c r="I329" s="813" t="s">
        <v>3543</v>
      </c>
      <c r="J329" s="167"/>
      <c r="K329" s="167"/>
      <c r="L329" s="167"/>
      <c r="M329" s="248"/>
      <c r="N329" s="249"/>
    </row>
    <row r="330" spans="1:14">
      <c r="A330" s="156"/>
      <c r="B330" s="156"/>
      <c r="C330" s="167"/>
      <c r="D330" s="167"/>
      <c r="E330" s="167"/>
      <c r="F330" s="167"/>
      <c r="G330" s="812" t="s">
        <v>3493</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3558</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3181</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3561</v>
      </c>
      <c r="I336" s="813" t="s">
        <v>935</v>
      </c>
      <c r="J336" s="167"/>
      <c r="K336" s="167"/>
      <c r="L336" s="167"/>
      <c r="M336" s="248"/>
      <c r="N336" s="249"/>
    </row>
    <row r="337" spans="1:14">
      <c r="A337" s="156"/>
      <c r="B337" s="156"/>
      <c r="C337" s="167"/>
      <c r="D337" s="167"/>
      <c r="E337" s="167"/>
      <c r="F337" s="167"/>
      <c r="G337" s="812" t="s">
        <v>1759</v>
      </c>
      <c r="H337" s="813" t="s">
        <v>3554</v>
      </c>
      <c r="I337" s="813" t="s">
        <v>381</v>
      </c>
      <c r="J337" s="167"/>
      <c r="K337" s="167"/>
      <c r="L337" s="167"/>
      <c r="M337" s="248"/>
      <c r="N337" s="249"/>
    </row>
    <row r="338" spans="1:14" ht="25.5">
      <c r="A338" s="156"/>
      <c r="B338" s="156"/>
      <c r="C338" s="167"/>
      <c r="D338" s="167"/>
      <c r="E338" s="167"/>
      <c r="F338" s="167"/>
      <c r="G338" s="812" t="s">
        <v>1761</v>
      </c>
      <c r="H338" s="813" t="s">
        <v>3559</v>
      </c>
      <c r="I338" s="813" t="s">
        <v>390</v>
      </c>
      <c r="J338" s="167"/>
      <c r="K338" s="167"/>
      <c r="L338" s="167"/>
      <c r="M338" s="248"/>
      <c r="N338" s="249"/>
    </row>
    <row r="339" spans="1:14" ht="25.5">
      <c r="A339" s="156"/>
      <c r="B339" s="156"/>
      <c r="C339" s="167"/>
      <c r="D339" s="167"/>
      <c r="E339" s="167"/>
      <c r="F339" s="167"/>
      <c r="G339" s="812" t="s">
        <v>2391</v>
      </c>
      <c r="H339" s="813" t="s">
        <v>3560</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3181</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3170</v>
      </c>
      <c r="H350" s="813"/>
      <c r="I350" s="813" t="s">
        <v>1624</v>
      </c>
      <c r="J350" s="167"/>
      <c r="K350" s="167"/>
      <c r="L350" s="167"/>
      <c r="M350" s="248"/>
      <c r="N350" s="249"/>
    </row>
    <row r="351" spans="1:14">
      <c r="A351" s="156"/>
      <c r="B351" s="156"/>
      <c r="C351" s="167"/>
      <c r="D351" s="167"/>
      <c r="E351" s="167"/>
      <c r="F351" s="167"/>
      <c r="G351" s="812" t="s">
        <v>3172</v>
      </c>
      <c r="H351" s="813"/>
      <c r="I351" s="813" t="s">
        <v>3064</v>
      </c>
      <c r="J351" s="167"/>
      <c r="K351" s="167"/>
      <c r="L351" s="167"/>
      <c r="M351" s="248"/>
      <c r="N351" s="249"/>
    </row>
    <row r="352" spans="1:14">
      <c r="A352" s="156"/>
      <c r="B352" s="156"/>
      <c r="C352" s="167"/>
      <c r="D352" s="167"/>
      <c r="E352" s="167"/>
      <c r="F352" s="167"/>
      <c r="G352" s="812" t="s">
        <v>3016</v>
      </c>
      <c r="H352" s="813"/>
      <c r="I352" s="813" t="s">
        <v>3069</v>
      </c>
      <c r="J352" s="167"/>
      <c r="K352" s="167"/>
      <c r="L352" s="167"/>
      <c r="M352" s="248"/>
      <c r="N352" s="249"/>
    </row>
    <row r="353" spans="1:14" ht="25.5">
      <c r="A353" s="156"/>
      <c r="B353" s="156"/>
      <c r="C353" s="167"/>
      <c r="D353" s="167"/>
      <c r="E353" s="167"/>
      <c r="F353" s="167"/>
      <c r="G353" s="812" t="s">
        <v>2394</v>
      </c>
      <c r="H353" s="813"/>
      <c r="I353" s="813" t="s">
        <v>3071</v>
      </c>
      <c r="J353" s="167"/>
      <c r="K353" s="167"/>
      <c r="L353" s="167"/>
      <c r="M353" s="248"/>
      <c r="N353" s="249"/>
    </row>
    <row r="354" spans="1:14" ht="13.5">
      <c r="A354" s="156"/>
      <c r="B354" s="156"/>
      <c r="C354" s="640"/>
      <c r="D354" s="640"/>
      <c r="E354" s="167"/>
      <c r="F354" s="167"/>
      <c r="G354" s="812" t="s">
        <v>3256</v>
      </c>
      <c r="H354" s="761"/>
      <c r="I354" s="813" t="s">
        <v>3075</v>
      </c>
      <c r="J354" s="167"/>
      <c r="K354" s="167"/>
      <c r="L354" s="167"/>
      <c r="M354" s="248"/>
      <c r="N354" s="249"/>
    </row>
    <row r="355" spans="1:14" ht="13.5">
      <c r="A355" s="156"/>
      <c r="B355" s="156"/>
      <c r="C355" s="640"/>
      <c r="D355" s="640"/>
      <c r="E355" s="167"/>
      <c r="F355" s="167"/>
      <c r="G355" s="812" t="s">
        <v>3173</v>
      </c>
      <c r="H355" s="761"/>
      <c r="I355" s="813" t="s">
        <v>3079</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3373</v>
      </c>
      <c r="J361" s="167"/>
      <c r="K361" s="167"/>
      <c r="L361" s="167"/>
      <c r="M361" s="156"/>
    </row>
    <row r="362" spans="1:14" ht="13.5">
      <c r="A362" s="156"/>
      <c r="B362" s="156"/>
      <c r="C362" s="641"/>
      <c r="D362" s="167"/>
      <c r="E362" s="167"/>
      <c r="F362" s="167"/>
      <c r="G362" s="767" t="s">
        <v>364</v>
      </c>
      <c r="H362" s="745"/>
      <c r="I362" s="761" t="s">
        <v>3375</v>
      </c>
      <c r="J362" s="167"/>
      <c r="K362" s="167"/>
      <c r="L362" s="167"/>
      <c r="M362" s="156"/>
    </row>
    <row r="363" spans="1:14" ht="13.5">
      <c r="A363" s="156"/>
      <c r="B363" s="156"/>
      <c r="C363" s="167"/>
      <c r="D363" s="167"/>
      <c r="E363" s="167"/>
      <c r="F363" s="167"/>
      <c r="G363" s="767" t="s">
        <v>2147</v>
      </c>
      <c r="H363" s="745"/>
      <c r="I363" s="761" t="s">
        <v>3377</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51" zoomScaleNormal="51" workbookViewId="0">
      <selection activeCell="AD23" sqref="AD23"/>
    </sheetView>
  </sheetViews>
  <sheetFormatPr defaultRowHeight="12.75"/>
  <cols>
    <col min="1" max="1" width="88.42578125" customWidth="1"/>
  </cols>
  <sheetData>
    <row r="1" spans="1:6" ht="15.75">
      <c r="A1" s="577" t="s">
        <v>3939</v>
      </c>
    </row>
    <row r="2" spans="1:6" ht="16.5">
      <c r="A2" s="576" t="str">
        <f>'Part I-Project Information'!F22</f>
        <v>Cherokee Mill Lofts</v>
      </c>
    </row>
    <row r="3" spans="1:6" ht="16.5">
      <c r="A3" s="576" t="str">
        <f>CONCATENATE('Part I-Project Information'!F24,", ", 'Part I-Project Information'!J25," County")</f>
        <v>Calhoun, Gordon County</v>
      </c>
    </row>
    <row r="4" spans="1:6" ht="12" customHeight="1"/>
    <row r="5" spans="1:6" ht="113.25" customHeight="1">
      <c r="A5" s="1216" t="s">
        <v>4073</v>
      </c>
      <c r="B5" s="1146" t="s">
        <v>3959</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Cherokee Mill Lofts</v>
      </c>
    </row>
    <row r="3" spans="1:6" ht="16.5">
      <c r="A3" s="576" t="str">
        <f>CONCATENATE('Part I-Project Information'!F24,", ", 'Part I-Project Information'!J25," County")</f>
        <v>Calhoun, Gordon County</v>
      </c>
    </row>
    <row r="4" spans="1:6" ht="12" customHeight="1"/>
    <row r="5" spans="1:6" ht="60" customHeight="1">
      <c r="A5" s="1216" t="s">
        <v>3958</v>
      </c>
      <c r="B5" s="1146" t="s">
        <v>3960</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3249</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3330</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N52" sqref="N5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3390</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3356</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3423</v>
      </c>
      <c r="L10" s="426" t="s">
        <v>3424</v>
      </c>
      <c r="M10" s="426" t="s">
        <v>3425</v>
      </c>
      <c r="N10" s="426" t="s">
        <v>3426</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9725976</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11671182</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10698570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3852</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3853</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3857</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3854</v>
      </c>
      <c r="G46" s="241"/>
      <c r="H46" s="239"/>
      <c r="I46" s="239"/>
      <c r="J46" s="241" t="s">
        <v>3855</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3212</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3342</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3343</v>
      </c>
      <c r="K54" s="241"/>
      <c r="L54" s="241"/>
      <c r="M54" s="241"/>
      <c r="N54" s="241"/>
      <c r="O54" s="241"/>
      <c r="P54" s="239"/>
      <c r="Q54" s="1228" t="s">
        <v>3344</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3392</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3847</v>
      </c>
      <c r="B72" s="241"/>
      <c r="C72" s="241"/>
      <c r="D72" s="239"/>
      <c r="E72" s="239"/>
      <c r="F72" s="241" t="s">
        <v>3638</v>
      </c>
      <c r="G72" s="241"/>
      <c r="H72" s="239"/>
      <c r="I72" s="239"/>
      <c r="J72" s="241" t="s">
        <v>3850</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3637</v>
      </c>
      <c r="G73" s="241"/>
      <c r="H73" s="239"/>
      <c r="I73" s="239"/>
      <c r="J73" s="241" t="s">
        <v>3850</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3850</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3848</v>
      </c>
      <c r="J76" s="241" t="s">
        <v>2618</v>
      </c>
      <c r="Q76" s="1229">
        <v>1000000</v>
      </c>
      <c r="R76" s="1230"/>
    </row>
    <row r="77" spans="1:26" s="416" customFormat="1" ht="11.45" customHeight="1">
      <c r="A77" s="241"/>
      <c r="B77" s="241"/>
      <c r="C77" s="241"/>
      <c r="D77" s="239"/>
      <c r="E77" s="239"/>
      <c r="F77" s="241" t="s">
        <v>3849</v>
      </c>
      <c r="G77" s="241"/>
      <c r="H77" s="239"/>
      <c r="I77" s="239"/>
      <c r="J77" s="241" t="s">
        <v>3851</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3624</v>
      </c>
      <c r="D101" s="734">
        <v>47700</v>
      </c>
    </row>
    <row r="102" spans="3:4" ht="10.5" customHeight="1">
      <c r="C102" s="561" t="s">
        <v>3181</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3486</v>
      </c>
      <c r="D120" s="734">
        <v>44800</v>
      </c>
    </row>
    <row r="121" spans="3:4" ht="10.5" customHeight="1">
      <c r="C121" s="562" t="s">
        <v>3489</v>
      </c>
      <c r="D121" s="734">
        <v>42200</v>
      </c>
    </row>
    <row r="122" spans="3:4" ht="10.5" customHeight="1">
      <c r="C122" s="562" t="s">
        <v>3492</v>
      </c>
      <c r="D122" s="734">
        <v>42900</v>
      </c>
    </row>
    <row r="123" spans="3:4" ht="10.5" customHeight="1">
      <c r="C123" s="562" t="s">
        <v>3541</v>
      </c>
      <c r="D123" s="734">
        <v>40900</v>
      </c>
    </row>
    <row r="124" spans="3:4" ht="10.5" customHeight="1">
      <c r="C124" s="562" t="s">
        <v>3544</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3154</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3622</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3061</v>
      </c>
      <c r="D165" s="734">
        <v>48700</v>
      </c>
    </row>
    <row r="166" spans="3:4" ht="10.5" customHeight="1">
      <c r="C166" s="562" t="s">
        <v>3063</v>
      </c>
      <c r="D166" s="734">
        <v>49700</v>
      </c>
    </row>
    <row r="167" spans="3:4" ht="10.5" customHeight="1">
      <c r="C167" s="561" t="s">
        <v>3065</v>
      </c>
      <c r="D167" s="734">
        <v>45800</v>
      </c>
    </row>
    <row r="168" spans="3:4" ht="10.5" customHeight="1">
      <c r="C168" s="561" t="s">
        <v>3068</v>
      </c>
      <c r="D168" s="734">
        <v>45300</v>
      </c>
    </row>
    <row r="169" spans="3:4" ht="10.5" customHeight="1">
      <c r="C169" s="562" t="s">
        <v>3070</v>
      </c>
      <c r="D169" s="734">
        <v>38700</v>
      </c>
    </row>
    <row r="170" spans="3:4" ht="10.5" customHeight="1">
      <c r="C170" s="562" t="s">
        <v>3072</v>
      </c>
      <c r="D170" s="734">
        <v>41400</v>
      </c>
    </row>
    <row r="171" spans="3:4" ht="10.5" customHeight="1">
      <c r="C171" s="562" t="s">
        <v>3074</v>
      </c>
      <c r="D171" s="734">
        <v>47300</v>
      </c>
    </row>
    <row r="172" spans="3:4" ht="10.5" customHeight="1">
      <c r="C172" s="562" t="s">
        <v>3076</v>
      </c>
      <c r="D172" s="734">
        <v>25600</v>
      </c>
    </row>
    <row r="173" spans="3:4" ht="10.5" customHeight="1">
      <c r="C173" s="562" t="s">
        <v>3078</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3372</v>
      </c>
      <c r="D192" s="734">
        <v>41700</v>
      </c>
    </row>
    <row r="193" spans="3:4" ht="10.5" customHeight="1">
      <c r="C193" s="561" t="s">
        <v>3374</v>
      </c>
      <c r="D193" s="734">
        <v>42600</v>
      </c>
    </row>
    <row r="194" spans="3:4" ht="10.5" customHeight="1">
      <c r="C194" s="561" t="s">
        <v>3376</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55" zoomScaleNormal="55"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Cherokee Mill Lofts</v>
      </c>
    </row>
    <row r="3" spans="1:6" ht="16.5">
      <c r="A3" s="1281" t="str">
        <f>CONCATENATE('Part I-Project Information'!F24,", ", 'Part I-Project Information'!J25," County")</f>
        <v>Calhoun, Gordon County</v>
      </c>
    </row>
    <row r="4" spans="1:6" ht="12" customHeight="1"/>
    <row r="5" spans="1:6" ht="111" customHeight="1">
      <c r="A5" s="1282" t="s">
        <v>4044</v>
      </c>
      <c r="B5" s="886" t="s">
        <v>3964</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- 2012-017 Cherokee Mill Lofts, Calhoun, Gordon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3329</v>
      </c>
      <c r="B3" s="450"/>
      <c r="C3" s="450"/>
      <c r="D3" s="451"/>
      <c r="E3" s="400" t="s">
        <v>614</v>
      </c>
      <c r="L3" s="450"/>
      <c r="O3" s="887" t="s">
        <v>3866</v>
      </c>
      <c r="P3" s="887"/>
    </row>
    <row r="4" spans="1:16" s="449" customFormat="1" ht="12" customHeight="1" thickBot="1">
      <c r="A4" s="846"/>
      <c r="B4" s="452"/>
      <c r="C4" s="452"/>
      <c r="D4" s="453"/>
      <c r="E4" s="400" t="s">
        <v>615</v>
      </c>
      <c r="H4" s="839"/>
      <c r="I4" s="839"/>
      <c r="J4" s="839"/>
      <c r="O4" s="1284" t="s">
        <v>4106</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3347</v>
      </c>
      <c r="D6" s="416"/>
      <c r="E6" s="454"/>
      <c r="F6" s="455" t="s">
        <v>2567</v>
      </c>
      <c r="J6" s="906">
        <f>'Part IV-Uses of Funds'!J165</f>
        <v>846741</v>
      </c>
      <c r="K6" s="907"/>
      <c r="O6" s="888" t="s">
        <v>3865</v>
      </c>
      <c r="P6" s="888"/>
    </row>
    <row r="7" spans="1:16" s="2" customFormat="1" ht="13.15" customHeight="1">
      <c r="A7" s="5"/>
      <c r="C7" s="5"/>
      <c r="D7" s="31"/>
      <c r="E7" s="549"/>
      <c r="F7" s="449" t="s">
        <v>1850</v>
      </c>
      <c r="J7" s="908">
        <f>'Part III A-Sources of Funds'!J5</f>
        <v>0</v>
      </c>
      <c r="K7" s="909"/>
      <c r="M7" s="449"/>
      <c r="N7" s="449"/>
      <c r="O7" s="1286" t="s">
        <v>4045</v>
      </c>
      <c r="P7" s="1287"/>
    </row>
    <row r="8" spans="1:16" s="449" customFormat="1" ht="7.15" customHeight="1">
      <c r="A8" s="452"/>
      <c r="C8" s="452"/>
      <c r="D8" s="416"/>
      <c r="E8" s="454"/>
      <c r="F8" s="454"/>
      <c r="I8" s="456"/>
      <c r="N8" s="457"/>
    </row>
    <row r="9" spans="1:16" s="449" customFormat="1" ht="13.15" customHeight="1">
      <c r="A9" s="456" t="s">
        <v>1136</v>
      </c>
      <c r="C9" s="452" t="s">
        <v>2925</v>
      </c>
      <c r="F9" s="1288" t="s">
        <v>4074</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3218</v>
      </c>
      <c r="F13" s="1292" t="s">
        <v>3974</v>
      </c>
      <c r="G13" s="1293"/>
      <c r="H13" s="1293"/>
      <c r="I13" s="1293"/>
      <c r="J13" s="1293"/>
      <c r="K13" s="1293"/>
      <c r="L13" s="1294"/>
      <c r="M13" s="826" t="s">
        <v>2859</v>
      </c>
      <c r="N13" s="1292" t="s">
        <v>3975</v>
      </c>
      <c r="O13" s="1293"/>
      <c r="P13" s="1294"/>
    </row>
    <row r="14" spans="1:16" s="449" customFormat="1" ht="13.15" customHeight="1">
      <c r="C14" s="455" t="s">
        <v>2860</v>
      </c>
      <c r="F14" s="1292" t="s">
        <v>3976</v>
      </c>
      <c r="G14" s="1293"/>
      <c r="H14" s="1293"/>
      <c r="I14" s="1293"/>
      <c r="J14" s="1293"/>
      <c r="K14" s="1293"/>
      <c r="L14" s="1294"/>
      <c r="M14" s="826" t="s">
        <v>2573</v>
      </c>
      <c r="O14" s="1295">
        <v>7705472079</v>
      </c>
      <c r="P14" s="1296"/>
    </row>
    <row r="15" spans="1:16" s="449" customFormat="1" ht="13.15" customHeight="1">
      <c r="C15" s="455" t="s">
        <v>876</v>
      </c>
      <c r="F15" s="1297" t="s">
        <v>1899</v>
      </c>
      <c r="G15" s="1298"/>
      <c r="H15" s="1299"/>
      <c r="M15" s="826" t="s">
        <v>2657</v>
      </c>
      <c r="O15" s="1300">
        <v>7066025052</v>
      </c>
      <c r="P15" s="1301"/>
    </row>
    <row r="16" spans="1:16" s="449" customFormat="1" ht="13.15" customHeight="1">
      <c r="C16" s="455" t="s">
        <v>2654</v>
      </c>
      <c r="F16" s="1302" t="s">
        <v>1337</v>
      </c>
      <c r="I16" s="839" t="s">
        <v>3137</v>
      </c>
      <c r="J16" s="1303">
        <v>307013692</v>
      </c>
      <c r="K16" s="1304"/>
      <c r="M16" s="826" t="s">
        <v>2858</v>
      </c>
      <c r="O16" s="1300"/>
      <c r="P16" s="1301"/>
    </row>
    <row r="17" spans="1:16" s="449" customFormat="1" ht="13.15" customHeight="1">
      <c r="B17" s="833"/>
      <c r="C17" s="455" t="s">
        <v>2572</v>
      </c>
      <c r="F17" s="1300">
        <v>7705472079</v>
      </c>
      <c r="G17" s="1305"/>
      <c r="H17" s="1301"/>
      <c r="I17" s="830" t="s">
        <v>2571</v>
      </c>
      <c r="J17" s="1306"/>
      <c r="K17" s="839" t="s">
        <v>2863</v>
      </c>
      <c r="L17" s="1292" t="s">
        <v>3977</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3978</v>
      </c>
      <c r="G22" s="1308"/>
      <c r="H22" s="1308"/>
      <c r="I22" s="1308"/>
      <c r="J22" s="1308"/>
      <c r="K22" s="1308"/>
      <c r="L22" s="1309"/>
      <c r="M22" s="826" t="s">
        <v>3086</v>
      </c>
      <c r="O22" s="1292" t="s">
        <v>3979</v>
      </c>
      <c r="P22" s="1294"/>
    </row>
    <row r="23" spans="1:16" s="449" customFormat="1" ht="13.15" customHeight="1">
      <c r="A23" s="462"/>
      <c r="B23" s="452"/>
      <c r="C23" s="449" t="s">
        <v>875</v>
      </c>
      <c r="D23" s="463"/>
      <c r="F23" s="1292" t="s">
        <v>3980</v>
      </c>
      <c r="G23" s="1293"/>
      <c r="H23" s="1293"/>
      <c r="I23" s="1293"/>
      <c r="J23" s="1293"/>
      <c r="K23" s="1293"/>
      <c r="L23" s="1294"/>
      <c r="M23" s="826" t="s">
        <v>2938</v>
      </c>
      <c r="O23" s="1292" t="s">
        <v>3979</v>
      </c>
      <c r="P23" s="1294"/>
    </row>
    <row r="24" spans="1:16" s="449" customFormat="1" ht="13.15" customHeight="1">
      <c r="A24" s="846"/>
      <c r="B24" s="452"/>
      <c r="C24" s="449" t="s">
        <v>876</v>
      </c>
      <c r="F24" s="1292" t="s">
        <v>1899</v>
      </c>
      <c r="G24" s="1293"/>
      <c r="H24" s="1294"/>
      <c r="I24" s="839" t="s">
        <v>418</v>
      </c>
      <c r="J24" s="1303">
        <v>307012325</v>
      </c>
      <c r="K24" s="1304"/>
      <c r="L24" s="540" t="str">
        <f>IF(AND(NOT(F22=""),NOT(F24="Select from list"),J24=""),"Enter Zip!","")</f>
        <v/>
      </c>
      <c r="M24" s="826" t="s">
        <v>3196</v>
      </c>
      <c r="O24" s="1292">
        <v>4.34</v>
      </c>
      <c r="P24" s="1294"/>
    </row>
    <row r="25" spans="1:16" s="449" customFormat="1" ht="13.15" customHeight="1">
      <c r="A25" s="846"/>
      <c r="B25" s="452"/>
      <c r="C25" s="889" t="s">
        <v>2937</v>
      </c>
      <c r="D25" s="889"/>
      <c r="F25" s="1310" t="s">
        <v>3981</v>
      </c>
      <c r="I25" s="494" t="s">
        <v>877</v>
      </c>
      <c r="J25" s="1311" t="str">
        <f>IF($F$24="","",VLOOKUP($F$24,$N$181:$O$784,2,FALSE))</f>
        <v>Gordon</v>
      </c>
      <c r="K25" s="1312"/>
      <c r="M25" s="465" t="s">
        <v>3211</v>
      </c>
      <c r="O25" s="1292">
        <v>9706</v>
      </c>
      <c r="P25" s="1313"/>
    </row>
    <row r="26" spans="1:16" s="449" customFormat="1" ht="13.15" customHeight="1">
      <c r="A26" s="846"/>
      <c r="B26" s="452"/>
      <c r="C26" s="449" t="s">
        <v>2162</v>
      </c>
      <c r="F26" s="1314" t="s">
        <v>3981</v>
      </c>
      <c r="H26" s="457" t="s">
        <v>3655</v>
      </c>
      <c r="I26" s="682" t="str">
        <f>VLOOKUP($J$25,$C$181:$F$340,4)</f>
        <v>Non-MSA</v>
      </c>
      <c r="J26" s="1315" t="str">
        <f>IF($F$24="","",VLOOKUP($J$25,$C$181:$H$340,3,FALSE))</f>
        <v>Gordon Co.</v>
      </c>
      <c r="K26" s="1316"/>
      <c r="L26" s="1317"/>
      <c r="M26" s="826" t="s">
        <v>625</v>
      </c>
      <c r="N26" s="1318" t="s">
        <v>3979</v>
      </c>
      <c r="O26" s="457" t="s">
        <v>626</v>
      </c>
      <c r="P26" s="1318" t="s">
        <v>3981</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11</v>
      </c>
      <c r="G29" s="1320"/>
      <c r="H29" s="1319">
        <v>52</v>
      </c>
      <c r="I29" s="1320"/>
      <c r="J29" s="1319">
        <v>5</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3982</v>
      </c>
      <c r="G32" s="1322"/>
      <c r="H32" s="1322"/>
      <c r="I32" s="1322"/>
      <c r="J32" s="1322"/>
      <c r="K32" s="1323"/>
      <c r="L32" s="466"/>
      <c r="M32" s="466"/>
      <c r="N32" s="466"/>
    </row>
    <row r="33" spans="1:19" s="449" customFormat="1" ht="13.15" customHeight="1">
      <c r="A33" s="846"/>
      <c r="B33" s="846"/>
      <c r="C33" s="449" t="s">
        <v>897</v>
      </c>
      <c r="F33" s="1324" t="s">
        <v>4027</v>
      </c>
      <c r="G33" s="1325"/>
      <c r="H33" s="1325"/>
      <c r="I33" s="1325"/>
      <c r="J33" s="1326"/>
      <c r="K33" s="467" t="s">
        <v>2859</v>
      </c>
      <c r="L33" s="1321" t="s">
        <v>4028</v>
      </c>
      <c r="M33" s="1322"/>
      <c r="N33" s="1323"/>
    </row>
    <row r="34" spans="1:19" s="449" customFormat="1" ht="13.15" customHeight="1">
      <c r="A34" s="846"/>
      <c r="B34" s="846"/>
      <c r="C34" s="449" t="s">
        <v>2860</v>
      </c>
      <c r="F34" s="1321" t="s">
        <v>4025</v>
      </c>
      <c r="G34" s="1322"/>
      <c r="H34" s="1322"/>
      <c r="I34" s="1322"/>
      <c r="J34" s="1323"/>
      <c r="K34" s="468" t="s">
        <v>876</v>
      </c>
      <c r="L34" s="1292" t="s">
        <v>1899</v>
      </c>
      <c r="M34" s="1293"/>
      <c r="N34" s="1294"/>
    </row>
    <row r="35" spans="1:19" s="449" customFormat="1" ht="13.15" customHeight="1">
      <c r="A35" s="846"/>
      <c r="B35" s="846"/>
      <c r="C35" s="826" t="s">
        <v>3137</v>
      </c>
      <c r="F35" s="1327">
        <v>307012246</v>
      </c>
      <c r="G35" s="1328"/>
      <c r="H35" s="830" t="s">
        <v>2861</v>
      </c>
      <c r="I35" s="1329" t="s">
        <v>4026</v>
      </c>
      <c r="J35" s="1330"/>
      <c r="K35" s="1331"/>
      <c r="L35" s="830" t="s">
        <v>2657</v>
      </c>
      <c r="M35" s="1329">
        <v>7066250439</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2649</v>
      </c>
      <c r="C37" s="452" t="s">
        <v>2066</v>
      </c>
      <c r="F37" s="471"/>
      <c r="I37" s="455"/>
      <c r="J37" s="683" t="s">
        <v>3661</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3213</v>
      </c>
      <c r="F39" s="1306" t="s">
        <v>3979</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3212</v>
      </c>
      <c r="D42" s="449"/>
      <c r="E42" s="449"/>
      <c r="F42" s="473">
        <f>'Part VI-Revenues &amp; Expenses'!$M$74</f>
        <v>60</v>
      </c>
      <c r="J42" s="397"/>
      <c r="L42" s="449"/>
      <c r="Q42" s="839"/>
    </row>
    <row r="43" spans="1:19" s="449" customFormat="1" ht="13.15" customHeight="1">
      <c r="A43" s="846"/>
      <c r="B43" s="846"/>
      <c r="C43" s="455" t="s">
        <v>439</v>
      </c>
      <c r="D43" s="833"/>
      <c r="F43" s="473">
        <f>'Part VI-Revenues &amp; Expenses'!$M$81</f>
        <v>60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3189</v>
      </c>
      <c r="D48" s="833"/>
      <c r="I48" s="896" t="s">
        <v>1993</v>
      </c>
      <c r="J48" s="462" t="s">
        <v>3004</v>
      </c>
      <c r="K48" s="475" t="s">
        <v>3219</v>
      </c>
      <c r="M48" s="833"/>
      <c r="N48" s="833"/>
      <c r="O48" s="833"/>
      <c r="P48" s="839"/>
      <c r="Q48" s="839"/>
      <c r="R48" s="839"/>
      <c r="S48" s="833"/>
    </row>
    <row r="49" spans="1:16" s="449" customFormat="1" ht="13.15" customHeight="1">
      <c r="A49" s="846"/>
      <c r="B49" s="829"/>
      <c r="C49" s="459" t="s">
        <v>3190</v>
      </c>
      <c r="D49" s="833"/>
      <c r="E49" s="833"/>
      <c r="H49" s="476">
        <f>SUM(H50:H51)</f>
        <v>60</v>
      </c>
      <c r="I49" s="897"/>
      <c r="J49" s="846"/>
      <c r="K49" s="459" t="s">
        <v>3220</v>
      </c>
      <c r="M49" s="833"/>
      <c r="N49" s="833"/>
      <c r="O49" s="833"/>
      <c r="P49" s="476">
        <f>'Part VI-Revenues &amp; Expenses'!$M$96</f>
        <v>60972</v>
      </c>
    </row>
    <row r="50" spans="1:16" s="449" customFormat="1" ht="13.15" customHeight="1">
      <c r="A50" s="846"/>
      <c r="B50" s="472"/>
      <c r="D50" s="477" t="s">
        <v>459</v>
      </c>
      <c r="E50" s="477"/>
      <c r="H50" s="476">
        <f>'Part VI-Revenues &amp; Expenses'!$M$57</f>
        <v>12</v>
      </c>
      <c r="I50" s="476">
        <f>'Part VI-Revenues &amp; Expenses'!$M$65</f>
        <v>0</v>
      </c>
      <c r="K50" s="459" t="s">
        <v>306</v>
      </c>
      <c r="M50" s="833"/>
      <c r="N50" s="833"/>
      <c r="O50" s="833"/>
      <c r="P50" s="476">
        <f>'Part VI-Revenues &amp; Expenses'!$M$97</f>
        <v>0</v>
      </c>
    </row>
    <row r="51" spans="1:16" s="449" customFormat="1" ht="13.15" customHeight="1">
      <c r="A51" s="846"/>
      <c r="D51" s="477" t="s">
        <v>2685</v>
      </c>
      <c r="E51" s="477"/>
      <c r="H51" s="476">
        <f>'Part VI-Revenues &amp; Expenses'!$M$56</f>
        <v>48</v>
      </c>
      <c r="I51" s="476">
        <f>'Part VI-Revenues &amp; Expenses'!$M$64</f>
        <v>0</v>
      </c>
      <c r="K51" s="459" t="s">
        <v>3221</v>
      </c>
      <c r="M51" s="833"/>
      <c r="N51" s="833"/>
      <c r="O51" s="833"/>
      <c r="P51" s="476">
        <f>+P49+P50</f>
        <v>60972</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3388</v>
      </c>
      <c r="D53" s="833"/>
      <c r="E53" s="833"/>
      <c r="H53" s="476">
        <f>+H49+H52</f>
        <v>60</v>
      </c>
      <c r="J53" s="846"/>
      <c r="K53" s="459" t="s">
        <v>1995</v>
      </c>
      <c r="M53" s="833"/>
      <c r="N53" s="833"/>
      <c r="O53" s="833"/>
      <c r="P53" s="476">
        <f>+P51+P52</f>
        <v>60972</v>
      </c>
    </row>
    <row r="54" spans="1:16" s="449" customFormat="1" ht="13.15" customHeight="1">
      <c r="A54" s="846"/>
      <c r="C54" s="459" t="s">
        <v>3389</v>
      </c>
      <c r="D54" s="833"/>
      <c r="E54" s="833"/>
      <c r="H54" s="476">
        <f>'Part VI-Revenues &amp; Expenses'!$M$61</f>
        <v>0</v>
      </c>
      <c r="J54" s="846"/>
    </row>
    <row r="55" spans="1:16" s="449" customFormat="1" ht="13.15" customHeight="1">
      <c r="A55" s="846"/>
      <c r="C55" s="459" t="s">
        <v>2648</v>
      </c>
      <c r="D55" s="833"/>
      <c r="E55" s="833"/>
      <c r="H55" s="476">
        <f>+H53+H54</f>
        <v>60</v>
      </c>
      <c r="J55" s="833"/>
    </row>
    <row r="56" spans="1:16" s="449" customFormat="1" ht="3" customHeight="1">
      <c r="A56" s="846"/>
      <c r="I56" s="839"/>
      <c r="L56" s="839"/>
      <c r="M56" s="839"/>
      <c r="N56" s="833"/>
      <c r="P56" s="460"/>
    </row>
    <row r="57" spans="1:16" s="449" customFormat="1" ht="13.15" customHeight="1">
      <c r="A57" s="846"/>
      <c r="B57" s="846" t="s">
        <v>2588</v>
      </c>
      <c r="C57" s="461" t="s">
        <v>3214</v>
      </c>
      <c r="D57" s="477" t="s">
        <v>2876</v>
      </c>
      <c r="G57" s="833"/>
      <c r="H57" s="1333">
        <v>1</v>
      </c>
      <c r="K57" s="459" t="s">
        <v>1641</v>
      </c>
      <c r="O57" s="833"/>
      <c r="P57" s="1333">
        <v>21169</v>
      </c>
    </row>
    <row r="58" spans="1:16" s="449" customFormat="1" ht="13.15" customHeight="1">
      <c r="A58" s="846"/>
      <c r="B58" s="846"/>
      <c r="D58" s="829" t="s">
        <v>2877</v>
      </c>
      <c r="H58" s="1333"/>
      <c r="I58" s="833"/>
      <c r="K58" s="459" t="s">
        <v>305</v>
      </c>
      <c r="O58" s="833"/>
      <c r="P58" s="476">
        <f>+P53+P57</f>
        <v>82141</v>
      </c>
    </row>
    <row r="59" spans="1:16" s="449" customFormat="1" ht="13.15" customHeight="1">
      <c r="A59" s="846"/>
      <c r="B59" s="846"/>
      <c r="D59" s="829" t="s">
        <v>2878</v>
      </c>
      <c r="H59" s="476">
        <f>+H57+H58</f>
        <v>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90</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3963</v>
      </c>
      <c r="D65" s="827"/>
      <c r="E65" s="827"/>
      <c r="F65" s="833"/>
      <c r="G65" s="839"/>
      <c r="H65" s="1334" t="s">
        <v>3983</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3">
        <v>3</v>
      </c>
      <c r="K67" s="889" t="s">
        <v>755</v>
      </c>
      <c r="L67" s="889"/>
      <c r="P67" s="480">
        <f>IF('Part VI-Revenues &amp; Expenses'!$M$62=0,0,$H67/'Part VI-Revenues &amp; Expenses'!$M$62)</f>
        <v>0.05</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3">
        <v>2</v>
      </c>
      <c r="K69" s="889" t="s">
        <v>755</v>
      </c>
      <c r="L69" s="889"/>
      <c r="P69" s="480">
        <f>IF('Part VI-Revenues &amp; Expenses'!$M$62=0,0,$H69/'Part VI-Revenues &amp; Expenses'!$M$62)</f>
        <v>3.3333333333333333E-2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3"/>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3349</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3348</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t="s">
        <v>3979</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3981</v>
      </c>
      <c r="F81" s="477" t="s">
        <v>3638</v>
      </c>
      <c r="H81" s="1306" t="s">
        <v>3981</v>
      </c>
      <c r="I81" s="826" t="s">
        <v>3637</v>
      </c>
      <c r="K81" s="1306" t="s">
        <v>3979</v>
      </c>
      <c r="L81" s="449" t="s">
        <v>339</v>
      </c>
    </row>
    <row r="82" spans="1:16" s="449" customFormat="1" ht="13.15" customHeight="1">
      <c r="A82" s="846"/>
      <c r="B82" s="846"/>
      <c r="D82" s="470"/>
      <c r="E82" s="1306" t="s">
        <v>3979</v>
      </c>
      <c r="F82" s="826" t="s">
        <v>611</v>
      </c>
      <c r="H82" s="1306" t="s">
        <v>3979</v>
      </c>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2654</v>
      </c>
      <c r="I88" s="1306"/>
      <c r="J88" s="483" t="s">
        <v>3137</v>
      </c>
      <c r="K88" s="1303"/>
      <c r="L88" s="1342"/>
      <c r="M88" s="416"/>
      <c r="N88" s="416"/>
      <c r="O88" s="416"/>
      <c r="P88" s="416"/>
    </row>
    <row r="89" spans="1:16" s="449" customFormat="1" ht="13.15" customHeight="1">
      <c r="C89" s="449" t="s">
        <v>3088</v>
      </c>
      <c r="E89" s="1292"/>
      <c r="F89" s="1341"/>
      <c r="G89" s="1342"/>
      <c r="H89" s="839" t="s">
        <v>2859</v>
      </c>
      <c r="I89" s="1292"/>
      <c r="J89" s="1341"/>
      <c r="K89" s="1342"/>
      <c r="L89" s="844" t="s">
        <v>2863</v>
      </c>
      <c r="M89" s="1292"/>
      <c r="N89" s="1341"/>
      <c r="O89" s="1341"/>
      <c r="P89" s="1342"/>
    </row>
    <row r="90" spans="1:16" s="449" customFormat="1" ht="13.15" customHeight="1">
      <c r="C90" s="455" t="s">
        <v>3087</v>
      </c>
      <c r="E90" s="1300"/>
      <c r="F90" s="1305"/>
      <c r="G90" s="1301"/>
      <c r="H90" s="839" t="s">
        <v>2657</v>
      </c>
      <c r="I90" s="1329"/>
      <c r="J90" s="1342"/>
      <c r="K90" s="483" t="s">
        <v>2658</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44">
        <v>1263965</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45" t="s">
        <v>3994</v>
      </c>
      <c r="D102" s="1346"/>
      <c r="E102" s="1346"/>
      <c r="F102" s="1346" t="s">
        <v>3978</v>
      </c>
      <c r="G102" s="1346"/>
      <c r="H102" s="1346"/>
      <c r="I102" s="1347"/>
      <c r="J102" s="1345">
        <v>8</v>
      </c>
      <c r="K102" s="1346"/>
      <c r="L102" s="1346"/>
      <c r="M102" s="1346"/>
      <c r="N102" s="1346"/>
      <c r="O102" s="1346"/>
      <c r="P102" s="1347"/>
    </row>
    <row r="103" spans="1:16" s="449" customFormat="1" ht="13.15" customHeight="1">
      <c r="A103" s="846"/>
      <c r="B103" s="846"/>
      <c r="C103" s="1348" t="s">
        <v>3988</v>
      </c>
      <c r="D103" s="1349"/>
      <c r="E103" s="1349"/>
      <c r="F103" s="1349" t="s">
        <v>3978</v>
      </c>
      <c r="G103" s="1349"/>
      <c r="H103" s="1349"/>
      <c r="I103" s="1350"/>
      <c r="J103" s="1348">
        <v>9</v>
      </c>
      <c r="K103" s="1349"/>
      <c r="L103" s="1349"/>
      <c r="M103" s="1349"/>
      <c r="N103" s="1349"/>
      <c r="O103" s="1349"/>
      <c r="P103" s="1350"/>
    </row>
    <row r="104" spans="1:16" s="449" customFormat="1" ht="13.15" customHeight="1">
      <c r="A104" s="846"/>
      <c r="B104" s="846"/>
      <c r="C104" s="1348" t="s">
        <v>3996</v>
      </c>
      <c r="D104" s="1349"/>
      <c r="E104" s="1349"/>
      <c r="F104" s="1349" t="s">
        <v>3978</v>
      </c>
      <c r="G104" s="1349"/>
      <c r="H104" s="1349"/>
      <c r="I104" s="1350"/>
      <c r="J104" s="1348">
        <v>10</v>
      </c>
      <c r="K104" s="1349"/>
      <c r="L104" s="1349"/>
      <c r="M104" s="1349"/>
      <c r="N104" s="1349"/>
      <c r="O104" s="1349"/>
      <c r="P104" s="1350"/>
    </row>
    <row r="105" spans="1:16" s="449" customFormat="1" ht="13.15" customHeight="1">
      <c r="A105" s="846"/>
      <c r="B105" s="846"/>
      <c r="C105" s="1348" t="s">
        <v>3988</v>
      </c>
      <c r="D105" s="1349"/>
      <c r="E105" s="1349"/>
      <c r="F105" s="1349" t="s">
        <v>4029</v>
      </c>
      <c r="G105" s="1349"/>
      <c r="H105" s="1349"/>
      <c r="I105" s="1350"/>
      <c r="J105" s="1348">
        <v>11</v>
      </c>
      <c r="K105" s="1349"/>
      <c r="L105" s="1349"/>
      <c r="M105" s="1349"/>
      <c r="N105" s="1349"/>
      <c r="O105" s="1349"/>
      <c r="P105" s="1350"/>
    </row>
    <row r="106" spans="1:16" s="449" customFormat="1" ht="13.15" customHeight="1">
      <c r="A106" s="846"/>
      <c r="B106" s="846"/>
      <c r="C106" s="1348" t="s">
        <v>3996</v>
      </c>
      <c r="D106" s="1349"/>
      <c r="E106" s="1349"/>
      <c r="F106" s="1349" t="s">
        <v>4029</v>
      </c>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45" t="s">
        <v>3994</v>
      </c>
      <c r="D113" s="1346"/>
      <c r="E113" s="1346"/>
      <c r="F113" s="1346" t="s">
        <v>3978</v>
      </c>
      <c r="G113" s="1346"/>
      <c r="H113" s="1346"/>
      <c r="I113" s="1347"/>
      <c r="J113" s="1345">
        <v>8</v>
      </c>
      <c r="K113" s="1346"/>
      <c r="L113" s="1346"/>
      <c r="M113" s="1346"/>
      <c r="N113" s="1346"/>
      <c r="O113" s="1346"/>
      <c r="P113" s="1347"/>
    </row>
    <row r="114" spans="1:16" s="449" customFormat="1" ht="13.15" customHeight="1">
      <c r="A114" s="846"/>
      <c r="B114" s="846"/>
      <c r="C114" s="1348" t="s">
        <v>3988</v>
      </c>
      <c r="D114" s="1349"/>
      <c r="E114" s="1349"/>
      <c r="F114" s="1346" t="s">
        <v>3978</v>
      </c>
      <c r="G114" s="1346"/>
      <c r="H114" s="1346"/>
      <c r="I114" s="1347"/>
      <c r="J114" s="1348">
        <v>9</v>
      </c>
      <c r="K114" s="1349"/>
      <c r="L114" s="1349"/>
      <c r="M114" s="1349"/>
      <c r="N114" s="1349"/>
      <c r="O114" s="1349"/>
      <c r="P114" s="1350"/>
    </row>
    <row r="115" spans="1:16" s="449" customFormat="1" ht="13.15" customHeight="1">
      <c r="A115" s="846"/>
      <c r="B115" s="846"/>
      <c r="C115" s="1348" t="s">
        <v>3996</v>
      </c>
      <c r="D115" s="1349"/>
      <c r="E115" s="1349"/>
      <c r="F115" s="1346" t="s">
        <v>3978</v>
      </c>
      <c r="G115" s="1346"/>
      <c r="H115" s="1346"/>
      <c r="I115" s="1347"/>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3401</v>
      </c>
      <c r="D121" s="478"/>
      <c r="E121" s="478"/>
      <c r="F121" s="478"/>
      <c r="H121" s="1306" t="s">
        <v>3979</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3403</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3404</v>
      </c>
      <c r="D126" s="829"/>
      <c r="E126" s="829"/>
      <c r="F126" s="839"/>
      <c r="H126" s="1354"/>
      <c r="K126" s="416" t="s">
        <v>3156</v>
      </c>
      <c r="O126" s="1292" t="s">
        <v>671</v>
      </c>
      <c r="P126" s="1294"/>
    </row>
    <row r="127" spans="1:16" s="449" customFormat="1" ht="13.15" customHeight="1">
      <c r="A127" s="846"/>
      <c r="B127" s="846"/>
      <c r="C127" s="829" t="s">
        <v>3402</v>
      </c>
      <c r="F127" s="839"/>
      <c r="H127" s="1343"/>
      <c r="K127" s="416" t="s">
        <v>3157</v>
      </c>
      <c r="O127" s="1292" t="s">
        <v>671</v>
      </c>
      <c r="P127" s="1294"/>
    </row>
    <row r="128" spans="1:16" s="449" customFormat="1" ht="13.15" customHeight="1">
      <c r="A128" s="846"/>
      <c r="B128" s="846"/>
      <c r="C128" s="829" t="s">
        <v>3059</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3496</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2686</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3979</v>
      </c>
      <c r="N139" s="833"/>
      <c r="O139" s="833"/>
      <c r="P139" s="460"/>
    </row>
    <row r="140" spans="1:16" s="449" customFormat="1" ht="12.6" customHeight="1">
      <c r="A140" s="846"/>
      <c r="B140" s="846"/>
      <c r="C140" s="449" t="s">
        <v>872</v>
      </c>
      <c r="K140" s="1333"/>
      <c r="L140" s="455" t="s">
        <v>2650</v>
      </c>
      <c r="P140" s="487">
        <f>IF('Part VI-Revenues &amp; Expenses'!$M$60=0,0,$K140/'Part VI-Revenues &amp; Expenses'!$M$60)</f>
        <v>0</v>
      </c>
    </row>
    <row r="141" spans="1:16" s="449" customFormat="1" ht="12.6" customHeight="1">
      <c r="A141" s="846"/>
      <c r="B141" s="846"/>
      <c r="C141" s="449" t="s">
        <v>3060</v>
      </c>
      <c r="K141" s="1333"/>
      <c r="L141" s="455" t="s">
        <v>2650</v>
      </c>
      <c r="P141" s="487">
        <f>IF('Part VI-Revenues &amp; Expenses'!$M$60=0,0,$K141/'Part VI-Revenues &amp; Expenses'!$M$60)</f>
        <v>0</v>
      </c>
    </row>
    <row r="142" spans="1:16" s="449" customFormat="1" ht="12.6" customHeight="1">
      <c r="A142" s="846"/>
      <c r="B142" s="846"/>
      <c r="C142" s="449" t="s">
        <v>2651</v>
      </c>
      <c r="E142" s="1292"/>
      <c r="F142" s="1293"/>
      <c r="G142" s="1293"/>
      <c r="H142" s="1293"/>
      <c r="I142" s="1293"/>
      <c r="J142" s="1293"/>
      <c r="K142" s="1294"/>
      <c r="L142" s="488" t="s">
        <v>2652</v>
      </c>
      <c r="M142" s="1292"/>
      <c r="N142" s="1293"/>
      <c r="O142" s="1293"/>
      <c r="P142" s="1294"/>
    </row>
    <row r="143" spans="1:16" s="449" customFormat="1" ht="12.6" customHeight="1">
      <c r="A143" s="846"/>
      <c r="B143" s="846"/>
      <c r="C143" s="455" t="s">
        <v>2653</v>
      </c>
      <c r="D143" s="463"/>
      <c r="E143" s="1292"/>
      <c r="F143" s="1293"/>
      <c r="G143" s="1293"/>
      <c r="H143" s="1293"/>
      <c r="I143" s="1293"/>
      <c r="J143" s="1293"/>
      <c r="K143" s="1355"/>
      <c r="L143" s="826" t="s">
        <v>2655</v>
      </c>
      <c r="M143" s="1307"/>
      <c r="N143" s="1308"/>
      <c r="O143" s="1308"/>
      <c r="P143" s="1309"/>
    </row>
    <row r="144" spans="1:16" s="449" customFormat="1" ht="12.6" customHeight="1">
      <c r="A144" s="846"/>
      <c r="B144" s="846"/>
      <c r="C144" s="455" t="s">
        <v>876</v>
      </c>
      <c r="E144" s="1292"/>
      <c r="F144" s="1293"/>
      <c r="G144" s="1293"/>
      <c r="H144" s="1294"/>
      <c r="I144" s="483" t="s">
        <v>3137</v>
      </c>
      <c r="J144" s="1303"/>
      <c r="K144" s="1304"/>
      <c r="L144" s="488" t="s">
        <v>2658</v>
      </c>
      <c r="M144" s="1300"/>
      <c r="N144" s="1305"/>
      <c r="O144" s="1301"/>
    </row>
    <row r="145" spans="1:16" s="449" customFormat="1" ht="12.6" customHeight="1">
      <c r="A145" s="846"/>
      <c r="B145" s="846"/>
      <c r="C145" s="455" t="s">
        <v>2656</v>
      </c>
      <c r="E145" s="1300"/>
      <c r="F145" s="1305"/>
      <c r="G145" s="1301"/>
      <c r="H145" s="489" t="s">
        <v>2657</v>
      </c>
      <c r="I145" s="1300"/>
      <c r="J145" s="1305"/>
      <c r="K145" s="1301"/>
      <c r="L145" s="490" t="s">
        <v>2858</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3" t="s">
        <v>3979</v>
      </c>
      <c r="J147" s="893" t="s">
        <v>1158</v>
      </c>
      <c r="K147" s="894"/>
      <c r="L147" s="1343"/>
      <c r="M147" s="890" t="s">
        <v>3246</v>
      </c>
      <c r="N147" s="891"/>
      <c r="O147" s="892"/>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3979</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3" t="s">
        <v>3979</v>
      </c>
    </row>
    <row r="152" spans="1:16" s="449" customFormat="1" ht="12.6" customHeight="1">
      <c r="B152" s="846"/>
      <c r="C152" s="913" t="s">
        <v>2067</v>
      </c>
      <c r="D152" s="913"/>
      <c r="E152" s="827"/>
      <c r="F152" s="827"/>
      <c r="G152" s="827"/>
      <c r="H152" s="1356"/>
    </row>
    <row r="153" spans="1:16" s="449" customFormat="1" ht="12.6" customHeight="1">
      <c r="A153" s="846"/>
      <c r="B153" s="846"/>
      <c r="C153" s="889" t="s">
        <v>1283</v>
      </c>
      <c r="D153" s="889"/>
      <c r="E153" s="452"/>
      <c r="F153" s="827"/>
      <c r="G153" s="827"/>
      <c r="H153" s="1356"/>
      <c r="K153" s="459"/>
      <c r="P153" s="460"/>
    </row>
    <row r="154" spans="1:16" s="449" customFormat="1" ht="12.6" customHeight="1">
      <c r="B154" s="846"/>
      <c r="C154" s="889" t="s">
        <v>2646</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3112</v>
      </c>
      <c r="D157" s="461"/>
      <c r="E157" s="833"/>
      <c r="F157" s="833"/>
      <c r="H157" s="1343" t="s">
        <v>3979</v>
      </c>
      <c r="L157" s="833" t="s">
        <v>3906</v>
      </c>
      <c r="P157" s="1343" t="s">
        <v>3979</v>
      </c>
    </row>
    <row r="158" spans="1:16" s="449" customFormat="1" ht="12.6" customHeight="1">
      <c r="A158" s="846"/>
      <c r="B158" s="846"/>
      <c r="C158" s="833" t="s">
        <v>3114</v>
      </c>
      <c r="H158" s="1343" t="s">
        <v>3981</v>
      </c>
      <c r="L158" s="833" t="s">
        <v>2222</v>
      </c>
      <c r="P158" s="1343" t="s">
        <v>3979</v>
      </c>
    </row>
    <row r="159" spans="1:16" s="449" customFormat="1" ht="12.6" customHeight="1">
      <c r="A159" s="846"/>
      <c r="C159" s="833" t="s">
        <v>1849</v>
      </c>
      <c r="D159" s="495"/>
      <c r="H159" s="1343" t="s">
        <v>3979</v>
      </c>
      <c r="L159" s="833" t="s">
        <v>2387</v>
      </c>
      <c r="P159" s="1343" t="s">
        <v>3979</v>
      </c>
    </row>
    <row r="160" spans="1:16" s="449" customFormat="1" ht="12.6" customHeight="1">
      <c r="A160" s="846"/>
      <c r="B160" s="846"/>
      <c r="C160" s="833" t="s">
        <v>2221</v>
      </c>
      <c r="D160" s="461"/>
      <c r="E160" s="833"/>
      <c r="F160" s="833"/>
      <c r="H160" s="1343" t="s">
        <v>3981</v>
      </c>
      <c r="K160" s="461"/>
      <c r="L160" s="449" t="s">
        <v>3907</v>
      </c>
      <c r="M160" s="833"/>
      <c r="P160" s="1343" t="s">
        <v>3979</v>
      </c>
    </row>
    <row r="161" spans="1:21" s="449" customFormat="1" ht="12.6" customHeight="1">
      <c r="A161" s="846"/>
      <c r="B161" s="452"/>
      <c r="C161" s="833" t="s">
        <v>2139</v>
      </c>
      <c r="D161" s="461"/>
      <c r="H161" s="1343" t="s">
        <v>3979</v>
      </c>
      <c r="L161" s="833" t="s">
        <v>3953</v>
      </c>
      <c r="M161" s="833"/>
      <c r="P161" s="1343" t="s">
        <v>3979</v>
      </c>
    </row>
    <row r="162" spans="1:21" s="449" customFormat="1" ht="12.6" customHeight="1">
      <c r="A162" s="846"/>
      <c r="B162" s="846"/>
      <c r="C162" s="833" t="s">
        <v>2667</v>
      </c>
      <c r="D162" s="461"/>
      <c r="E162" s="833"/>
      <c r="F162" s="833"/>
      <c r="H162" s="1343" t="s">
        <v>3979</v>
      </c>
      <c r="I162" s="494" t="s">
        <v>3700</v>
      </c>
      <c r="O162" s="1357"/>
      <c r="P162" s="1358"/>
    </row>
    <row r="163" spans="1:21" s="449" customFormat="1" ht="12.6" customHeight="1">
      <c r="A163" s="846"/>
      <c r="B163" s="846"/>
      <c r="C163" s="833" t="s">
        <v>3955</v>
      </c>
      <c r="E163" s="1334"/>
      <c r="F163" s="1359"/>
      <c r="G163" s="1335"/>
      <c r="H163" s="1343" t="s">
        <v>3979</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v>42004</v>
      </c>
      <c r="I166" s="1340"/>
      <c r="N166" s="833"/>
      <c r="O166" s="833"/>
      <c r="P166" s="460"/>
    </row>
    <row r="167" spans="1:21" s="449" customFormat="1" ht="12.6" customHeight="1">
      <c r="A167" s="846"/>
      <c r="B167" s="846"/>
      <c r="C167" s="455" t="s">
        <v>341</v>
      </c>
      <c r="D167" s="829"/>
      <c r="E167" s="829"/>
      <c r="F167" s="839"/>
      <c r="G167" s="839"/>
      <c r="H167" s="1339">
        <v>42004</v>
      </c>
      <c r="I167" s="1340"/>
      <c r="N167" s="833"/>
      <c r="O167" s="833"/>
      <c r="P167" s="460"/>
    </row>
    <row r="168" spans="1:21" s="449" customFormat="1" ht="12.6" customHeight="1">
      <c r="A168" s="846"/>
      <c r="B168" s="846"/>
      <c r="C168" s="455" t="s">
        <v>3212</v>
      </c>
      <c r="D168" s="829"/>
      <c r="E168" s="829"/>
      <c r="F168" s="839"/>
      <c r="G168" s="839"/>
      <c r="H168" s="1339"/>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3162</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3378</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3656</v>
      </c>
      <c r="G181" s="763" t="s">
        <v>1680</v>
      </c>
      <c r="H181" s="764" t="s">
        <v>500</v>
      </c>
      <c r="I181" s="680"/>
      <c r="J181" s="613" t="s">
        <v>2123</v>
      </c>
      <c r="K181" s="614"/>
      <c r="L181" s="609"/>
      <c r="M181" s="610"/>
      <c r="N181" s="615" t="s">
        <v>3379</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3656</v>
      </c>
      <c r="G182" s="763" t="s">
        <v>1681</v>
      </c>
      <c r="H182" s="764" t="s">
        <v>500</v>
      </c>
      <c r="I182" s="680"/>
      <c r="J182" s="613" t="s">
        <v>2125</v>
      </c>
      <c r="K182" s="614"/>
      <c r="L182" s="609"/>
      <c r="M182" s="610"/>
      <c r="N182" s="615" t="s">
        <v>2124</v>
      </c>
      <c r="O182" s="615" t="s">
        <v>3490</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3656</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3657</v>
      </c>
      <c r="G184" s="763" t="s">
        <v>1683</v>
      </c>
      <c r="H184" s="764" t="s">
        <v>501</v>
      </c>
      <c r="I184" s="681"/>
      <c r="J184" s="613" t="s">
        <v>2968</v>
      </c>
      <c r="K184" s="614"/>
      <c r="L184" s="609"/>
      <c r="M184" s="610"/>
      <c r="N184" s="615" t="s">
        <v>637</v>
      </c>
      <c r="O184" s="615" t="s">
        <v>3543</v>
      </c>
      <c r="P184" s="497" t="s">
        <v>2227</v>
      </c>
      <c r="Q184" s="596"/>
      <c r="S184" s="596"/>
      <c r="T184" s="615" t="s">
        <v>2216</v>
      </c>
      <c r="U184" s="615" t="s">
        <v>3542</v>
      </c>
      <c r="V184" s="596"/>
      <c r="W184" s="596"/>
      <c r="X184" s="596"/>
      <c r="Y184" s="596"/>
      <c r="Z184" s="596"/>
      <c r="AA184" s="596"/>
    </row>
    <row r="185" spans="2:27" ht="12" customHeight="1">
      <c r="B185" s="761" t="s">
        <v>1331</v>
      </c>
      <c r="C185" s="761" t="s">
        <v>2638</v>
      </c>
      <c r="D185" s="761" t="s">
        <v>1902</v>
      </c>
      <c r="E185" s="765" t="s">
        <v>193</v>
      </c>
      <c r="F185" s="765" t="s">
        <v>3656</v>
      </c>
      <c r="G185" s="763" t="s">
        <v>1684</v>
      </c>
      <c r="H185" s="764" t="s">
        <v>500</v>
      </c>
      <c r="I185" s="681"/>
      <c r="J185" s="613" t="s">
        <v>2970</v>
      </c>
      <c r="K185" s="614"/>
      <c r="L185" s="609"/>
      <c r="M185" s="610"/>
      <c r="N185" s="615" t="s">
        <v>2969</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3656</v>
      </c>
      <c r="G186" s="763" t="s">
        <v>2687</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3657</v>
      </c>
      <c r="G187" s="763" t="s">
        <v>3611</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3657</v>
      </c>
      <c r="G188" s="763" t="s">
        <v>3611</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3656</v>
      </c>
      <c r="G189" s="763" t="s">
        <v>3612</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3656</v>
      </c>
      <c r="G190" s="763" t="s">
        <v>3613</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3657</v>
      </c>
      <c r="G191" s="763" t="s">
        <v>3614</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3656</v>
      </c>
      <c r="G192" s="763" t="s">
        <v>3615</v>
      </c>
      <c r="H192" s="764" t="s">
        <v>500</v>
      </c>
      <c r="I192" s="681"/>
      <c r="J192" s="613" t="s">
        <v>617</v>
      </c>
      <c r="K192" s="614"/>
      <c r="L192" s="609"/>
      <c r="M192" s="610"/>
      <c r="N192" s="615" t="s">
        <v>221</v>
      </c>
      <c r="O192" s="615" t="s">
        <v>3375</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3657</v>
      </c>
      <c r="G193" s="763" t="s">
        <v>3616</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3657</v>
      </c>
      <c r="G194" s="763" t="s">
        <v>3617</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3657</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3656</v>
      </c>
      <c r="G196" s="763" t="s">
        <v>3635</v>
      </c>
      <c r="H196" s="764" t="s">
        <v>500</v>
      </c>
      <c r="I196" s="681"/>
      <c r="J196" s="613" t="s">
        <v>3174</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3657</v>
      </c>
      <c r="G197" s="763" t="s">
        <v>3636</v>
      </c>
      <c r="H197" s="764" t="s">
        <v>501</v>
      </c>
      <c r="I197" s="681"/>
      <c r="J197" s="613" t="s">
        <v>3176</v>
      </c>
      <c r="K197" s="614"/>
      <c r="L197" s="609"/>
      <c r="M197" s="610"/>
      <c r="N197" s="615" t="s">
        <v>3175</v>
      </c>
      <c r="O197" s="615" t="s">
        <v>3491</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3657</v>
      </c>
      <c r="G198" s="763" t="s">
        <v>1812</v>
      </c>
      <c r="H198" s="764" t="s">
        <v>501</v>
      </c>
      <c r="I198" s="681"/>
      <c r="J198" s="613" t="s">
        <v>442</v>
      </c>
      <c r="K198" s="614"/>
      <c r="L198" s="609"/>
      <c r="M198" s="610"/>
      <c r="N198" s="615" t="s">
        <v>2719</v>
      </c>
      <c r="O198" s="615" t="s">
        <v>3071</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3656</v>
      </c>
      <c r="G199" s="763" t="s">
        <v>1813</v>
      </c>
      <c r="H199" s="764" t="s">
        <v>500</v>
      </c>
      <c r="I199" s="680"/>
      <c r="J199" s="613" t="s">
        <v>444</v>
      </c>
      <c r="K199" s="614"/>
      <c r="L199" s="609"/>
      <c r="M199" s="610"/>
      <c r="N199" s="615" t="s">
        <v>443</v>
      </c>
      <c r="O199" s="615" t="s">
        <v>3071</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3656</v>
      </c>
      <c r="G200" s="763" t="s">
        <v>1814</v>
      </c>
      <c r="H200" s="764" t="s">
        <v>500</v>
      </c>
      <c r="I200" s="681"/>
      <c r="J200" s="613" t="s">
        <v>3569</v>
      </c>
      <c r="K200" s="614"/>
      <c r="L200" s="609"/>
      <c r="M200" s="610"/>
      <c r="N200" s="615" t="s">
        <v>3570</v>
      </c>
      <c r="O200" s="615" t="s">
        <v>3547</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3656</v>
      </c>
      <c r="G201" s="763" t="s">
        <v>2558</v>
      </c>
      <c r="H201" s="764" t="s">
        <v>500</v>
      </c>
      <c r="I201" s="680"/>
      <c r="J201" s="613" t="s">
        <v>3571</v>
      </c>
      <c r="K201" s="614"/>
      <c r="L201" s="609"/>
      <c r="M201" s="610"/>
      <c r="N201" s="615" t="s">
        <v>3572</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3657</v>
      </c>
      <c r="G202" s="763" t="s">
        <v>3611</v>
      </c>
      <c r="H202" s="764" t="s">
        <v>501</v>
      </c>
      <c r="I202" s="681"/>
      <c r="J202" s="613" t="s">
        <v>3573</v>
      </c>
      <c r="K202" s="614"/>
      <c r="L202" s="609"/>
      <c r="M202" s="610"/>
      <c r="N202" s="615" t="s">
        <v>3574</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3657</v>
      </c>
      <c r="G203" s="763" t="s">
        <v>2527</v>
      </c>
      <c r="H203" s="764" t="s">
        <v>501</v>
      </c>
      <c r="I203" s="681"/>
      <c r="J203" s="613" t="s">
        <v>3575</v>
      </c>
      <c r="K203" s="614"/>
      <c r="L203" s="609"/>
      <c r="M203" s="610"/>
      <c r="N203" s="615" t="s">
        <v>3576</v>
      </c>
      <c r="O203" s="615" t="s">
        <v>3488</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3656</v>
      </c>
      <c r="G204" s="763" t="s">
        <v>2528</v>
      </c>
      <c r="H204" s="764" t="s">
        <v>500</v>
      </c>
      <c r="I204" s="680"/>
      <c r="J204" s="613" t="s">
        <v>3577</v>
      </c>
      <c r="K204" s="614"/>
      <c r="L204" s="609"/>
      <c r="M204" s="610"/>
      <c r="N204" s="615" t="s">
        <v>3578</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3657</v>
      </c>
      <c r="G205" s="763" t="s">
        <v>2048</v>
      </c>
      <c r="H205" s="764" t="s">
        <v>501</v>
      </c>
      <c r="I205" s="681"/>
      <c r="J205" s="613" t="s">
        <v>3579</v>
      </c>
      <c r="K205" s="614"/>
      <c r="L205" s="609"/>
      <c r="M205" s="610"/>
      <c r="N205" s="615" t="s">
        <v>3581</v>
      </c>
      <c r="O205" s="615" t="s">
        <v>3628</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3657</v>
      </c>
      <c r="G206" s="763" t="s">
        <v>2529</v>
      </c>
      <c r="H206" s="764" t="s">
        <v>501</v>
      </c>
      <c r="I206" s="681"/>
      <c r="J206" s="613" t="s">
        <v>3580</v>
      </c>
      <c r="K206" s="614"/>
      <c r="L206" s="609"/>
      <c r="M206" s="610"/>
      <c r="N206" s="615" t="s">
        <v>3583</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3656</v>
      </c>
      <c r="G207" s="763" t="s">
        <v>2530</v>
      </c>
      <c r="H207" s="764" t="s">
        <v>500</v>
      </c>
      <c r="I207" s="680"/>
      <c r="J207" s="613" t="s">
        <v>3582</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3657</v>
      </c>
      <c r="G208" s="763" t="s">
        <v>3611</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3657</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3485</v>
      </c>
      <c r="D210" s="761" t="s">
        <v>1749</v>
      </c>
      <c r="E210" s="762" t="s">
        <v>3486</v>
      </c>
      <c r="F210" s="762" t="s">
        <v>3656</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3487</v>
      </c>
      <c r="D211" s="761" t="s">
        <v>1902</v>
      </c>
      <c r="E211" s="765" t="s">
        <v>1244</v>
      </c>
      <c r="F211" s="765" t="s">
        <v>3657</v>
      </c>
      <c r="G211" s="763" t="s">
        <v>3611</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3488</v>
      </c>
      <c r="D212" s="761" t="s">
        <v>1749</v>
      </c>
      <c r="E212" s="762" t="s">
        <v>3489</v>
      </c>
      <c r="F212" s="762" t="s">
        <v>3656</v>
      </c>
      <c r="G212" s="763" t="s">
        <v>881</v>
      </c>
      <c r="H212" s="764" t="s">
        <v>500</v>
      </c>
      <c r="I212" s="680"/>
      <c r="J212" s="613" t="s">
        <v>2960</v>
      </c>
      <c r="K212" s="616"/>
      <c r="L212" s="609"/>
      <c r="M212" s="610"/>
      <c r="N212" s="615" t="s">
        <v>2962</v>
      </c>
      <c r="O212" s="615" t="s">
        <v>3490</v>
      </c>
      <c r="P212" s="497" t="s">
        <v>2253</v>
      </c>
      <c r="Q212" s="1366"/>
      <c r="S212" s="596"/>
      <c r="T212" s="596"/>
      <c r="U212" s="596"/>
      <c r="V212" s="596"/>
      <c r="W212" s="596"/>
      <c r="X212" s="596"/>
      <c r="Y212" s="596"/>
      <c r="Z212" s="596"/>
      <c r="AA212" s="596"/>
    </row>
    <row r="213" spans="2:27" ht="12" customHeight="1">
      <c r="B213" s="761" t="s">
        <v>1916</v>
      </c>
      <c r="C213" s="761" t="s">
        <v>3490</v>
      </c>
      <c r="D213" s="761" t="s">
        <v>1878</v>
      </c>
      <c r="E213" s="765" t="s">
        <v>1244</v>
      </c>
      <c r="F213" s="765" t="s">
        <v>3657</v>
      </c>
      <c r="G213" s="763" t="s">
        <v>3611</v>
      </c>
      <c r="H213" s="764" t="s">
        <v>501</v>
      </c>
      <c r="I213" s="681"/>
      <c r="J213" s="613" t="s">
        <v>2961</v>
      </c>
      <c r="K213" s="616"/>
      <c r="L213" s="609"/>
      <c r="M213" s="610"/>
      <c r="N213" s="615" t="s">
        <v>2879</v>
      </c>
      <c r="O213" s="615" t="s">
        <v>3067</v>
      </c>
      <c r="P213" s="497" t="s">
        <v>2254</v>
      </c>
      <c r="Q213" s="1366"/>
      <c r="S213" s="596"/>
      <c r="T213" s="596"/>
      <c r="U213" s="596"/>
      <c r="V213" s="596"/>
      <c r="W213" s="596"/>
      <c r="X213" s="596"/>
      <c r="Y213" s="596"/>
      <c r="Z213" s="596"/>
      <c r="AA213" s="596"/>
    </row>
    <row r="214" spans="2:27" ht="12" customHeight="1">
      <c r="B214" s="761" t="s">
        <v>1917</v>
      </c>
      <c r="C214" s="761" t="s">
        <v>3491</v>
      </c>
      <c r="D214" s="761" t="s">
        <v>1749</v>
      </c>
      <c r="E214" s="762" t="s">
        <v>3492</v>
      </c>
      <c r="F214" s="762" t="s">
        <v>3656</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3493</v>
      </c>
      <c r="D215" s="761" t="s">
        <v>1749</v>
      </c>
      <c r="E215" s="762" t="s">
        <v>3541</v>
      </c>
      <c r="F215" s="762" t="s">
        <v>3656</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3542</v>
      </c>
      <c r="D216" s="761" t="s">
        <v>1902</v>
      </c>
      <c r="E216" s="765" t="s">
        <v>1245</v>
      </c>
      <c r="F216" s="765" t="s">
        <v>3657</v>
      </c>
      <c r="G216" s="763" t="s">
        <v>3636</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3543</v>
      </c>
      <c r="D217" s="761" t="s">
        <v>1749</v>
      </c>
      <c r="E217" s="762" t="s">
        <v>3544</v>
      </c>
      <c r="F217" s="762" t="s">
        <v>3656</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3545</v>
      </c>
      <c r="D218" s="761" t="s">
        <v>1902</v>
      </c>
      <c r="E218" s="765" t="s">
        <v>1244</v>
      </c>
      <c r="F218" s="765" t="s">
        <v>3657</v>
      </c>
      <c r="G218" s="763" t="s">
        <v>3611</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3546</v>
      </c>
      <c r="D219" s="761" t="s">
        <v>1902</v>
      </c>
      <c r="E219" s="765" t="s">
        <v>1887</v>
      </c>
      <c r="F219" s="765" t="s">
        <v>3657</v>
      </c>
      <c r="G219" s="763" t="s">
        <v>3614</v>
      </c>
      <c r="H219" s="764" t="s">
        <v>501</v>
      </c>
      <c r="I219" s="681"/>
      <c r="J219" s="613" t="s">
        <v>3563</v>
      </c>
      <c r="K219" s="616"/>
      <c r="L219" s="609"/>
      <c r="M219" s="610"/>
      <c r="N219" s="615" t="s">
        <v>3564</v>
      </c>
      <c r="O219" s="615" t="s">
        <v>201</v>
      </c>
      <c r="P219" s="497" t="s">
        <v>2260</v>
      </c>
      <c r="Q219" s="1366"/>
      <c r="S219" s="596"/>
      <c r="T219" s="596"/>
      <c r="U219" s="596"/>
      <c r="V219" s="596"/>
      <c r="W219" s="596"/>
      <c r="X219" s="596"/>
      <c r="Y219" s="596"/>
      <c r="Z219" s="596"/>
      <c r="AA219" s="596"/>
    </row>
    <row r="220" spans="2:27" ht="12" customHeight="1">
      <c r="B220" s="761" t="s">
        <v>1923</v>
      </c>
      <c r="C220" s="761" t="s">
        <v>3547</v>
      </c>
      <c r="D220" s="761" t="s">
        <v>1749</v>
      </c>
      <c r="E220" s="762" t="s">
        <v>232</v>
      </c>
      <c r="F220" s="762" t="s">
        <v>3656</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3657</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3657</v>
      </c>
      <c r="G222" s="763" t="s">
        <v>3611</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3656</v>
      </c>
      <c r="G223" s="763" t="s">
        <v>886</v>
      </c>
      <c r="H223" s="764" t="s">
        <v>500</v>
      </c>
      <c r="I223" s="680"/>
      <c r="J223" s="613" t="s">
        <v>3146</v>
      </c>
      <c r="K223" s="616"/>
      <c r="L223" s="609"/>
      <c r="M223" s="610"/>
      <c r="N223" s="615" t="s">
        <v>3147</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3657</v>
      </c>
      <c r="G224" s="763" t="s">
        <v>3611</v>
      </c>
      <c r="H224" s="764" t="s">
        <v>501</v>
      </c>
      <c r="I224" s="681"/>
      <c r="J224" s="613" t="s">
        <v>3148</v>
      </c>
      <c r="K224" s="616"/>
      <c r="L224" s="609"/>
      <c r="M224" s="610"/>
      <c r="N224" s="615" t="s">
        <v>3149</v>
      </c>
      <c r="O224" s="615" t="s">
        <v>3155</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3656</v>
      </c>
      <c r="G225" s="763" t="s">
        <v>2837</v>
      </c>
      <c r="H225" s="764" t="s">
        <v>500</v>
      </c>
      <c r="I225" s="680"/>
      <c r="J225" s="613" t="s">
        <v>3150</v>
      </c>
      <c r="K225" s="616"/>
      <c r="L225" s="609"/>
      <c r="M225" s="610"/>
      <c r="N225" s="497" t="s">
        <v>3590</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3656</v>
      </c>
      <c r="G226" s="763" t="s">
        <v>2838</v>
      </c>
      <c r="H226" s="764" t="s">
        <v>500</v>
      </c>
      <c r="I226" s="680"/>
      <c r="J226" s="613" t="s">
        <v>3182</v>
      </c>
      <c r="K226" s="616"/>
      <c r="L226" s="609"/>
      <c r="M226" s="610"/>
      <c r="N226" s="615" t="s">
        <v>3151</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3657</v>
      </c>
      <c r="G227" s="763" t="s">
        <v>1683</v>
      </c>
      <c r="H227" s="764" t="s">
        <v>501</v>
      </c>
      <c r="I227" s="681"/>
      <c r="J227" s="613" t="s">
        <v>2628</v>
      </c>
      <c r="K227" s="616"/>
      <c r="L227" s="609"/>
      <c r="M227" s="610"/>
      <c r="N227" s="615" t="s">
        <v>2603</v>
      </c>
      <c r="O227" s="615" t="s">
        <v>3493</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3657</v>
      </c>
      <c r="G228" s="763" t="s">
        <v>3611</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3656</v>
      </c>
      <c r="G229" s="763" t="s">
        <v>2839</v>
      </c>
      <c r="H229" s="764" t="s">
        <v>500</v>
      </c>
      <c r="I229" s="680"/>
      <c r="J229" s="613" t="s">
        <v>3050</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3657</v>
      </c>
      <c r="G230" s="763" t="s">
        <v>3617</v>
      </c>
      <c r="H230" s="764" t="s">
        <v>501</v>
      </c>
      <c r="I230" s="680"/>
      <c r="J230" s="613" t="s">
        <v>3051</v>
      </c>
      <c r="K230" s="616"/>
      <c r="L230" s="609"/>
      <c r="M230" s="610"/>
      <c r="N230" s="615" t="s">
        <v>1312</v>
      </c>
      <c r="O230" s="615" t="s">
        <v>3625</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3657</v>
      </c>
      <c r="G231" s="763" t="s">
        <v>2048</v>
      </c>
      <c r="H231" s="764" t="s">
        <v>501</v>
      </c>
      <c r="I231" s="681"/>
      <c r="J231" s="613" t="s">
        <v>3427</v>
      </c>
      <c r="K231" s="614"/>
      <c r="L231" s="609"/>
      <c r="M231" s="610"/>
      <c r="N231" s="615" t="s">
        <v>3052</v>
      </c>
      <c r="O231" s="615" t="s">
        <v>3627</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3656</v>
      </c>
      <c r="G232" s="763" t="s">
        <v>1903</v>
      </c>
      <c r="H232" s="764" t="s">
        <v>500</v>
      </c>
      <c r="I232" s="680"/>
      <c r="J232" s="613" t="s">
        <v>3429</v>
      </c>
      <c r="K232" s="614"/>
      <c r="L232" s="609"/>
      <c r="M232" s="610"/>
      <c r="N232" s="615" t="s">
        <v>3428</v>
      </c>
      <c r="O232" s="615" t="s">
        <v>1607</v>
      </c>
      <c r="P232" s="497" t="s">
        <v>2271</v>
      </c>
      <c r="Q232" s="1366"/>
      <c r="S232" s="596"/>
      <c r="T232" s="596"/>
      <c r="U232" s="596"/>
      <c r="V232" s="596"/>
      <c r="W232" s="596"/>
      <c r="X232" s="596"/>
      <c r="Y232" s="596"/>
      <c r="Z232" s="596"/>
      <c r="AA232" s="596"/>
    </row>
    <row r="233" spans="2:27" ht="12" customHeight="1">
      <c r="B233" s="766"/>
      <c r="C233" s="761" t="s">
        <v>3153</v>
      </c>
      <c r="D233" s="761" t="s">
        <v>1749</v>
      </c>
      <c r="E233" s="762" t="s">
        <v>3154</v>
      </c>
      <c r="F233" s="762" t="s">
        <v>3656</v>
      </c>
      <c r="G233" s="763" t="s">
        <v>1904</v>
      </c>
      <c r="H233" s="764" t="s">
        <v>500</v>
      </c>
      <c r="I233" s="680"/>
      <c r="J233" s="613" t="s">
        <v>3431</v>
      </c>
      <c r="K233" s="614"/>
      <c r="L233" s="609"/>
      <c r="M233" s="610"/>
      <c r="N233" s="497" t="s">
        <v>3591</v>
      </c>
      <c r="O233" s="497" t="s">
        <v>388</v>
      </c>
      <c r="P233" s="1368" t="s">
        <v>3032</v>
      </c>
      <c r="Q233" s="1366"/>
      <c r="S233" s="596"/>
      <c r="T233" s="596"/>
      <c r="U233" s="596"/>
      <c r="V233" s="596"/>
      <c r="W233" s="596"/>
      <c r="X233" s="596"/>
      <c r="Y233" s="596"/>
      <c r="Z233" s="596"/>
      <c r="AA233" s="596"/>
    </row>
    <row r="234" spans="2:27" ht="12" customHeight="1">
      <c r="B234" s="766"/>
      <c r="C234" s="761" t="s">
        <v>3155</v>
      </c>
      <c r="D234" s="761" t="s">
        <v>1749</v>
      </c>
      <c r="E234" s="762" t="s">
        <v>920</v>
      </c>
      <c r="F234" s="762" t="s">
        <v>3656</v>
      </c>
      <c r="G234" s="763" t="s">
        <v>1905</v>
      </c>
      <c r="H234" s="764" t="s">
        <v>500</v>
      </c>
      <c r="I234" s="680"/>
      <c r="J234" s="613" t="s">
        <v>3433</v>
      </c>
      <c r="K234" s="614"/>
      <c r="L234" s="609"/>
      <c r="M234" s="610"/>
      <c r="N234" s="615" t="s">
        <v>3430</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3656</v>
      </c>
      <c r="G235" s="763" t="s">
        <v>1906</v>
      </c>
      <c r="H235" s="764" t="s">
        <v>500</v>
      </c>
      <c r="I235" s="680"/>
      <c r="J235" s="613" t="s">
        <v>3434</v>
      </c>
      <c r="K235" s="614"/>
      <c r="L235" s="609"/>
      <c r="M235" s="610"/>
      <c r="N235" s="615" t="s">
        <v>3432</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3657</v>
      </c>
      <c r="G236" s="763" t="s">
        <v>3611</v>
      </c>
      <c r="H236" s="764" t="s">
        <v>501</v>
      </c>
      <c r="I236" s="681"/>
      <c r="J236" s="613" t="s">
        <v>3138</v>
      </c>
      <c r="K236" s="614"/>
      <c r="L236" s="609"/>
      <c r="M236" s="610"/>
      <c r="N236" s="615" t="s">
        <v>3435</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3181</v>
      </c>
      <c r="F237" s="765" t="s">
        <v>3657</v>
      </c>
      <c r="G237" s="763" t="s">
        <v>1907</v>
      </c>
      <c r="H237" s="764" t="s">
        <v>501</v>
      </c>
      <c r="I237" s="681"/>
      <c r="J237" s="613" t="s">
        <v>983</v>
      </c>
      <c r="K237" s="614"/>
      <c r="L237" s="609"/>
      <c r="M237" s="610"/>
      <c r="N237" s="615" t="s">
        <v>3139</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3657</v>
      </c>
      <c r="G238" s="763" t="s">
        <v>3611</v>
      </c>
      <c r="H238" s="764" t="s">
        <v>501</v>
      </c>
      <c r="I238" s="681"/>
      <c r="J238" s="613" t="s">
        <v>985</v>
      </c>
      <c r="K238" s="614"/>
      <c r="L238" s="609"/>
      <c r="M238" s="610"/>
      <c r="N238" s="615" t="s">
        <v>984</v>
      </c>
      <c r="O238" s="615" t="s">
        <v>3485</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3656</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3657</v>
      </c>
      <c r="G240" s="763" t="s">
        <v>3611</v>
      </c>
      <c r="H240" s="764" t="s">
        <v>501</v>
      </c>
      <c r="I240" s="681"/>
      <c r="J240" s="613" t="s">
        <v>989</v>
      </c>
      <c r="K240" s="614"/>
      <c r="L240" s="609"/>
      <c r="M240" s="610"/>
      <c r="N240" s="615" t="s">
        <v>988</v>
      </c>
      <c r="O240" s="615" t="s">
        <v>3627</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3656</v>
      </c>
      <c r="G241" s="763" t="s">
        <v>286</v>
      </c>
      <c r="H241" s="764" t="s">
        <v>500</v>
      </c>
      <c r="I241" s="680"/>
      <c r="J241" s="613" t="s">
        <v>3129</v>
      </c>
      <c r="K241" s="614"/>
      <c r="L241" s="609"/>
      <c r="M241" s="610"/>
      <c r="N241" s="497" t="s">
        <v>3592</v>
      </c>
      <c r="O241" s="497" t="s">
        <v>3487</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3656</v>
      </c>
      <c r="G242" s="763" t="s">
        <v>287</v>
      </c>
      <c r="H242" s="764" t="s">
        <v>500</v>
      </c>
      <c r="I242" s="681"/>
      <c r="J242" s="613" t="s">
        <v>3130</v>
      </c>
      <c r="K242" s="614"/>
      <c r="L242" s="609"/>
      <c r="M242" s="610"/>
      <c r="N242" s="615" t="s">
        <v>3131</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3657</v>
      </c>
      <c r="G243" s="763" t="s">
        <v>3616</v>
      </c>
      <c r="H243" s="764" t="s">
        <v>501</v>
      </c>
      <c r="I243" s="680"/>
      <c r="J243" s="613" t="s">
        <v>3132</v>
      </c>
      <c r="K243" s="614"/>
      <c r="L243" s="609"/>
      <c r="M243" s="610"/>
      <c r="N243" s="615" t="s">
        <v>3133</v>
      </c>
      <c r="O243" s="615" t="s">
        <v>3621</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3656</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3656</v>
      </c>
      <c r="G245" s="763" t="s">
        <v>479</v>
      </c>
      <c r="H245" s="764" t="s">
        <v>500</v>
      </c>
      <c r="I245" s="680"/>
      <c r="J245" s="613" t="s">
        <v>1275</v>
      </c>
      <c r="K245" s="614"/>
      <c r="L245" s="609"/>
      <c r="M245" s="610"/>
      <c r="N245" s="615" t="s">
        <v>3183</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3656</v>
      </c>
      <c r="G246" s="763" t="s">
        <v>480</v>
      </c>
      <c r="H246" s="764" t="s">
        <v>500</v>
      </c>
      <c r="I246" s="680"/>
      <c r="J246" s="613" t="s">
        <v>3184</v>
      </c>
      <c r="K246" s="614"/>
      <c r="L246" s="609"/>
      <c r="M246" s="610"/>
      <c r="N246" s="615" t="s">
        <v>3253</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3657</v>
      </c>
      <c r="G247" s="763" t="s">
        <v>3611</v>
      </c>
      <c r="H247" s="764" t="s">
        <v>501</v>
      </c>
      <c r="I247" s="681"/>
      <c r="J247" s="613" t="s">
        <v>3217</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3656</v>
      </c>
      <c r="G248" s="763" t="s">
        <v>481</v>
      </c>
      <c r="H248" s="764" t="s">
        <v>500</v>
      </c>
      <c r="I248" s="680"/>
      <c r="J248" s="613" t="s">
        <v>51</v>
      </c>
      <c r="K248" s="614"/>
      <c r="L248" s="609"/>
      <c r="M248" s="610"/>
      <c r="N248" s="615" t="s">
        <v>893</v>
      </c>
      <c r="O248" s="615" t="s">
        <v>3629</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3657</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3656</v>
      </c>
      <c r="G250" s="763" t="s">
        <v>483</v>
      </c>
      <c r="H250" s="764" t="s">
        <v>500</v>
      </c>
      <c r="I250" s="680"/>
      <c r="J250" s="613" t="s">
        <v>371</v>
      </c>
      <c r="K250" s="614"/>
      <c r="L250" s="609"/>
      <c r="M250" s="610"/>
      <c r="N250" s="615" t="s">
        <v>3338</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3657</v>
      </c>
      <c r="G251" s="763" t="s">
        <v>484</v>
      </c>
      <c r="H251" s="764" t="s">
        <v>501</v>
      </c>
      <c r="I251" s="681"/>
      <c r="J251" s="613" t="s">
        <v>3337</v>
      </c>
      <c r="K251" s="614"/>
      <c r="L251" s="609"/>
      <c r="M251" s="610"/>
      <c r="N251" s="615" t="s">
        <v>3369</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3657</v>
      </c>
      <c r="G252" s="763" t="s">
        <v>2529</v>
      </c>
      <c r="H252" s="764" t="s">
        <v>501</v>
      </c>
      <c r="I252" s="681"/>
      <c r="J252" s="613" t="s">
        <v>3368</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3656</v>
      </c>
      <c r="G253" s="763" t="s">
        <v>485</v>
      </c>
      <c r="H253" s="764" t="s">
        <v>500</v>
      </c>
      <c r="I253" s="680"/>
      <c r="J253" s="613" t="s">
        <v>3370</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3657</v>
      </c>
      <c r="G254" s="763" t="s">
        <v>3611</v>
      </c>
      <c r="H254" s="764" t="s">
        <v>501</v>
      </c>
      <c r="I254" s="681"/>
      <c r="J254" s="613" t="s">
        <v>3371</v>
      </c>
      <c r="K254" s="614"/>
      <c r="L254" s="609"/>
      <c r="M254" s="610"/>
      <c r="N254" s="615" t="s">
        <v>3327</v>
      </c>
      <c r="O254" s="615" t="s">
        <v>3491</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3657</v>
      </c>
      <c r="G255" s="763" t="s">
        <v>3611</v>
      </c>
      <c r="H255" s="764" t="s">
        <v>501</v>
      </c>
      <c r="I255" s="681"/>
      <c r="J255" s="613" t="s">
        <v>3326</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3657</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3656</v>
      </c>
      <c r="G257" s="763" t="s">
        <v>913</v>
      </c>
      <c r="H257" s="764" t="s">
        <v>500</v>
      </c>
      <c r="I257" s="680"/>
      <c r="J257" s="613" t="s">
        <v>13</v>
      </c>
      <c r="K257" s="614"/>
      <c r="L257" s="609"/>
      <c r="M257" s="610"/>
      <c r="N257" s="615" t="s">
        <v>63</v>
      </c>
      <c r="O257" s="615" t="s">
        <v>3621</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3656</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3657</v>
      </c>
      <c r="G259" s="763" t="s">
        <v>3611</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3656</v>
      </c>
      <c r="G260" s="763" t="s">
        <v>915</v>
      </c>
      <c r="H260" s="764" t="s">
        <v>500</v>
      </c>
      <c r="I260" s="680"/>
      <c r="J260" s="613" t="s">
        <v>66</v>
      </c>
      <c r="K260" s="614"/>
      <c r="L260" s="609"/>
      <c r="M260" s="610"/>
      <c r="N260" s="615" t="s">
        <v>424</v>
      </c>
      <c r="O260" s="615" t="s">
        <v>3079</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3656</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3656</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3656</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3657</v>
      </c>
      <c r="G264" s="763" t="s">
        <v>3614</v>
      </c>
      <c r="H264" s="764" t="s">
        <v>501</v>
      </c>
      <c r="I264" s="681"/>
      <c r="J264" s="613" t="s">
        <v>3205</v>
      </c>
      <c r="K264" s="614"/>
      <c r="L264" s="609"/>
      <c r="M264" s="610"/>
      <c r="N264" s="615" t="s">
        <v>3206</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3657</v>
      </c>
      <c r="G265" s="763" t="s">
        <v>329</v>
      </c>
      <c r="H265" s="764" t="s">
        <v>501</v>
      </c>
      <c r="I265" s="681"/>
      <c r="J265" s="613" t="s">
        <v>3207</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3657</v>
      </c>
      <c r="G266" s="763" t="s">
        <v>3617</v>
      </c>
      <c r="H266" s="764" t="s">
        <v>501</v>
      </c>
      <c r="I266" s="680"/>
      <c r="J266" s="613" t="s">
        <v>3208</v>
      </c>
      <c r="K266" s="614"/>
      <c r="L266" s="609"/>
      <c r="M266" s="610"/>
      <c r="N266" s="615" t="s">
        <v>3210</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3656</v>
      </c>
      <c r="G267" s="763" t="s">
        <v>330</v>
      </c>
      <c r="H267" s="764" t="s">
        <v>500</v>
      </c>
      <c r="I267" s="680"/>
      <c r="J267" s="613" t="s">
        <v>3209</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3657</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3657</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3656</v>
      </c>
      <c r="G270" s="763" t="s">
        <v>3536</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3657</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3657</v>
      </c>
      <c r="G272" s="763" t="s">
        <v>3617</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3656</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3656</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3657</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3657</v>
      </c>
      <c r="G276" s="763" t="s">
        <v>2529</v>
      </c>
      <c r="H276" s="764" t="s">
        <v>501</v>
      </c>
      <c r="I276" s="681"/>
      <c r="J276" s="613" t="s">
        <v>1529</v>
      </c>
      <c r="K276" s="614"/>
      <c r="L276" s="609"/>
      <c r="M276" s="610"/>
      <c r="N276" s="615" t="s">
        <v>283</v>
      </c>
      <c r="O276" s="615" t="s">
        <v>3543</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3657</v>
      </c>
      <c r="G277" s="763" t="s">
        <v>3636</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3657</v>
      </c>
      <c r="G278" s="763" t="s">
        <v>3616</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3657</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3656</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3656</v>
      </c>
      <c r="G281" s="763" t="s">
        <v>972</v>
      </c>
      <c r="H281" s="764" t="s">
        <v>500</v>
      </c>
      <c r="I281" s="680"/>
      <c r="J281" s="613" t="s">
        <v>2947</v>
      </c>
      <c r="K281" s="614"/>
      <c r="L281" s="609"/>
      <c r="M281" s="610"/>
      <c r="N281" s="615" t="s">
        <v>2954</v>
      </c>
      <c r="O281" s="615" t="s">
        <v>3623</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3657</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3656</v>
      </c>
      <c r="G283" s="763" t="s">
        <v>974</v>
      </c>
      <c r="H283" s="764" t="s">
        <v>500</v>
      </c>
      <c r="I283" s="680"/>
      <c r="J283" s="613" t="s">
        <v>2951</v>
      </c>
      <c r="K283" s="614"/>
      <c r="L283" s="609"/>
      <c r="M283" s="610"/>
      <c r="N283" s="497" t="s">
        <v>3594</v>
      </c>
      <c r="O283" s="497" t="s">
        <v>2888</v>
      </c>
      <c r="P283" s="1368" t="s">
        <v>3032</v>
      </c>
      <c r="Q283" s="1366"/>
      <c r="S283" s="596"/>
      <c r="T283" s="596"/>
      <c r="U283" s="596"/>
      <c r="V283" s="596"/>
      <c r="W283" s="596"/>
      <c r="X283" s="596"/>
      <c r="Y283" s="596"/>
      <c r="Z283" s="596"/>
      <c r="AA283" s="596"/>
    </row>
    <row r="284" spans="2:27" ht="12" customHeight="1">
      <c r="B284" s="766"/>
      <c r="C284" s="761" t="s">
        <v>3621</v>
      </c>
      <c r="D284" s="761" t="s">
        <v>1902</v>
      </c>
      <c r="E284" s="765" t="s">
        <v>3622</v>
      </c>
      <c r="F284" s="765" t="s">
        <v>3656</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3623</v>
      </c>
      <c r="D285" s="761" t="s">
        <v>1878</v>
      </c>
      <c r="E285" s="762" t="s">
        <v>3624</v>
      </c>
      <c r="F285" s="762" t="s">
        <v>3657</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3625</v>
      </c>
      <c r="D286" s="761" t="s">
        <v>1902</v>
      </c>
      <c r="E286" s="765" t="s">
        <v>198</v>
      </c>
      <c r="F286" s="765" t="s">
        <v>3657</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3626</v>
      </c>
      <c r="D287" s="761" t="s">
        <v>1902</v>
      </c>
      <c r="E287" s="765" t="s">
        <v>1244</v>
      </c>
      <c r="F287" s="765" t="s">
        <v>3657</v>
      </c>
      <c r="G287" s="763" t="s">
        <v>3611</v>
      </c>
      <c r="H287" s="764" t="s">
        <v>501</v>
      </c>
      <c r="I287" s="681"/>
      <c r="J287" s="613" t="s">
        <v>941</v>
      </c>
      <c r="K287" s="614"/>
      <c r="L287" s="609"/>
      <c r="M287" s="610"/>
      <c r="N287" s="615" t="s">
        <v>3252</v>
      </c>
      <c r="O287" s="615" t="s">
        <v>131</v>
      </c>
      <c r="P287" s="497" t="s">
        <v>2323</v>
      </c>
      <c r="Q287" s="1366"/>
      <c r="S287" s="596"/>
      <c r="T287" s="596"/>
      <c r="U287" s="596"/>
      <c r="V287" s="596"/>
      <c r="W287" s="596"/>
      <c r="X287" s="596"/>
      <c r="Y287" s="596"/>
      <c r="Z287" s="596"/>
      <c r="AA287" s="596"/>
    </row>
    <row r="288" spans="2:27" ht="12" customHeight="1">
      <c r="B288" s="766"/>
      <c r="C288" s="761" t="s">
        <v>3627</v>
      </c>
      <c r="D288" s="761" t="s">
        <v>1902</v>
      </c>
      <c r="E288" s="762" t="s">
        <v>2928</v>
      </c>
      <c r="F288" s="762" t="s">
        <v>3657</v>
      </c>
      <c r="G288" s="763" t="s">
        <v>879</v>
      </c>
      <c r="H288" s="764" t="s">
        <v>501</v>
      </c>
      <c r="I288" s="680"/>
      <c r="J288" s="613" t="s">
        <v>3250</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3628</v>
      </c>
      <c r="D289" s="761" t="s">
        <v>1902</v>
      </c>
      <c r="E289" s="762" t="s">
        <v>2928</v>
      </c>
      <c r="F289" s="762" t="s">
        <v>3657</v>
      </c>
      <c r="G289" s="763" t="s">
        <v>879</v>
      </c>
      <c r="H289" s="764" t="s">
        <v>501</v>
      </c>
      <c r="I289" s="680"/>
      <c r="J289" s="613" t="s">
        <v>3251</v>
      </c>
      <c r="K289" s="614"/>
      <c r="L289" s="609"/>
      <c r="M289" s="610"/>
      <c r="N289" s="615" t="s">
        <v>1801</v>
      </c>
      <c r="O289" s="615" t="s">
        <v>3155</v>
      </c>
      <c r="P289" s="497" t="s">
        <v>2325</v>
      </c>
      <c r="Q289" s="1366"/>
      <c r="S289" s="596"/>
      <c r="T289" s="596"/>
      <c r="U289" s="596"/>
      <c r="V289" s="596"/>
      <c r="W289" s="596"/>
      <c r="X289" s="596"/>
      <c r="Y289" s="596"/>
      <c r="Z289" s="596"/>
      <c r="AA289" s="596"/>
    </row>
    <row r="290" spans="2:27" ht="12" customHeight="1">
      <c r="B290" s="766"/>
      <c r="C290" s="761" t="s">
        <v>3629</v>
      </c>
      <c r="D290" s="761" t="s">
        <v>1878</v>
      </c>
      <c r="E290" s="765" t="s">
        <v>1244</v>
      </c>
      <c r="F290" s="765" t="s">
        <v>3657</v>
      </c>
      <c r="G290" s="763" t="s">
        <v>3611</v>
      </c>
      <c r="H290" s="764" t="s">
        <v>501</v>
      </c>
      <c r="I290" s="681"/>
      <c r="J290" s="613" t="s">
        <v>1798</v>
      </c>
      <c r="K290" s="614"/>
      <c r="L290" s="609"/>
      <c r="M290" s="610"/>
      <c r="N290" s="615" t="s">
        <v>3487</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3656</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3657</v>
      </c>
      <c r="G292" s="763" t="s">
        <v>3611</v>
      </c>
      <c r="H292" s="764" t="s">
        <v>501</v>
      </c>
      <c r="I292" s="681"/>
      <c r="J292" s="613" t="s">
        <v>1802</v>
      </c>
      <c r="K292" s="614"/>
      <c r="L292" s="609"/>
      <c r="M292" s="610"/>
      <c r="N292" s="615" t="s">
        <v>3499</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3656</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3657</v>
      </c>
      <c r="G294" s="763" t="s">
        <v>3611</v>
      </c>
      <c r="H294" s="764" t="s">
        <v>501</v>
      </c>
      <c r="I294" s="681"/>
      <c r="J294" s="613" t="s">
        <v>1805</v>
      </c>
      <c r="K294" s="614"/>
      <c r="L294" s="609"/>
      <c r="M294" s="610"/>
      <c r="N294" s="615" t="s">
        <v>91</v>
      </c>
      <c r="O294" s="615" t="s">
        <v>3077</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3656</v>
      </c>
      <c r="G295" s="763" t="s">
        <v>2833</v>
      </c>
      <c r="H295" s="764" t="s">
        <v>500</v>
      </c>
      <c r="I295" s="680"/>
      <c r="J295" s="613" t="s">
        <v>3500</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3656</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3656</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3656</v>
      </c>
      <c r="G298" s="763" t="s">
        <v>2639</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3656</v>
      </c>
      <c r="G299" s="763" t="s">
        <v>2640</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3656</v>
      </c>
      <c r="G300" s="763" t="s">
        <v>2641</v>
      </c>
      <c r="H300" s="764" t="s">
        <v>500</v>
      </c>
      <c r="I300" s="680"/>
      <c r="J300" s="613" t="s">
        <v>1765</v>
      </c>
      <c r="K300" s="614"/>
      <c r="L300" s="609"/>
      <c r="M300" s="610"/>
      <c r="N300" s="615" t="s">
        <v>1774</v>
      </c>
      <c r="O300" s="615" t="s">
        <v>3077</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3657</v>
      </c>
      <c r="G301" s="763" t="s">
        <v>3636</v>
      </c>
      <c r="H301" s="764" t="s">
        <v>501</v>
      </c>
      <c r="I301" s="681"/>
      <c r="J301" s="613" t="s">
        <v>1767</v>
      </c>
      <c r="K301" s="614"/>
      <c r="L301" s="609"/>
      <c r="M301" s="610"/>
      <c r="N301" s="615" t="s">
        <v>3493</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3657</v>
      </c>
      <c r="G302" s="763" t="s">
        <v>3611</v>
      </c>
      <c r="H302" s="764" t="s">
        <v>501</v>
      </c>
      <c r="I302" s="681"/>
      <c r="J302" s="613" t="s">
        <v>1769</v>
      </c>
      <c r="K302" s="614"/>
      <c r="L302" s="609"/>
      <c r="M302" s="610"/>
      <c r="N302" s="615" t="s">
        <v>198</v>
      </c>
      <c r="O302" s="615" t="s">
        <v>3625</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3061</v>
      </c>
      <c r="F303" s="762" t="s">
        <v>3656</v>
      </c>
      <c r="G303" s="763" t="s">
        <v>2642</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3062</v>
      </c>
      <c r="D304" s="761" t="s">
        <v>1749</v>
      </c>
      <c r="E304" s="762" t="s">
        <v>3063</v>
      </c>
      <c r="F304" s="762" t="s">
        <v>3656</v>
      </c>
      <c r="G304" s="763" t="s">
        <v>2643</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3064</v>
      </c>
      <c r="D306" s="761" t="s">
        <v>1749</v>
      </c>
      <c r="E306" s="765" t="s">
        <v>3065</v>
      </c>
      <c r="F306" s="762" t="s">
        <v>3656</v>
      </c>
      <c r="G306" s="763" t="s">
        <v>630</v>
      </c>
      <c r="H306" s="764" t="s">
        <v>500</v>
      </c>
      <c r="I306" s="681"/>
      <c r="J306" s="613" t="s">
        <v>1383</v>
      </c>
      <c r="K306" s="614"/>
      <c r="L306" s="609"/>
      <c r="M306" s="610"/>
      <c r="N306" s="497" t="s">
        <v>3595</v>
      </c>
      <c r="O306" s="497" t="s">
        <v>3487</v>
      </c>
      <c r="P306" s="1368" t="s">
        <v>3032</v>
      </c>
      <c r="Q306" s="596"/>
      <c r="S306" s="596"/>
      <c r="T306" s="596"/>
      <c r="U306" s="596"/>
      <c r="V306" s="596"/>
      <c r="W306" s="596"/>
      <c r="X306" s="596"/>
      <c r="Y306" s="596"/>
      <c r="Z306" s="596"/>
      <c r="AA306" s="596"/>
    </row>
    <row r="307" spans="2:27" ht="12" customHeight="1">
      <c r="B307" s="766"/>
      <c r="C307" s="761" t="s">
        <v>3066</v>
      </c>
      <c r="D307" s="761" t="s">
        <v>1902</v>
      </c>
      <c r="E307" s="765" t="s">
        <v>1244</v>
      </c>
      <c r="F307" s="765" t="s">
        <v>3657</v>
      </c>
      <c r="G307" s="763" t="s">
        <v>3611</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3067</v>
      </c>
      <c r="D308" s="761" t="s">
        <v>1878</v>
      </c>
      <c r="E308" s="765" t="s">
        <v>3068</v>
      </c>
      <c r="F308" s="765" t="s">
        <v>3656</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3069</v>
      </c>
      <c r="D309" s="761" t="s">
        <v>1749</v>
      </c>
      <c r="E309" s="762" t="s">
        <v>3070</v>
      </c>
      <c r="F309" s="765" t="s">
        <v>3656</v>
      </c>
      <c r="G309" s="763" t="s">
        <v>1997</v>
      </c>
      <c r="H309" s="764" t="s">
        <v>500</v>
      </c>
      <c r="I309" s="680"/>
      <c r="J309" s="613" t="s">
        <v>1388</v>
      </c>
      <c r="K309" s="614"/>
      <c r="L309" s="609"/>
      <c r="M309" s="610"/>
      <c r="N309" s="615" t="s">
        <v>2946</v>
      </c>
      <c r="O309" s="615" t="s">
        <v>3547</v>
      </c>
      <c r="P309" s="497" t="s">
        <v>2342</v>
      </c>
      <c r="Q309" s="1366"/>
      <c r="S309" s="596"/>
      <c r="T309" s="596"/>
      <c r="U309" s="596"/>
      <c r="V309" s="596"/>
      <c r="W309" s="596"/>
      <c r="X309" s="596"/>
      <c r="Y309" s="596"/>
      <c r="Z309" s="596"/>
      <c r="AA309" s="596"/>
    </row>
    <row r="310" spans="2:27" ht="12" customHeight="1">
      <c r="B310" s="766"/>
      <c r="C310" s="761" t="s">
        <v>3071</v>
      </c>
      <c r="D310" s="761" t="s">
        <v>1749</v>
      </c>
      <c r="E310" s="762" t="s">
        <v>3072</v>
      </c>
      <c r="F310" s="762" t="s">
        <v>3656</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3073</v>
      </c>
      <c r="D311" s="761" t="s">
        <v>1902</v>
      </c>
      <c r="E311" s="762" t="s">
        <v>3074</v>
      </c>
      <c r="F311" s="762" t="s">
        <v>3656</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3075</v>
      </c>
      <c r="D312" s="761" t="s">
        <v>1902</v>
      </c>
      <c r="E312" s="762" t="s">
        <v>3076</v>
      </c>
      <c r="F312" s="762" t="s">
        <v>3656</v>
      </c>
      <c r="G312" s="763" t="s">
        <v>2893</v>
      </c>
      <c r="H312" s="764" t="s">
        <v>500</v>
      </c>
      <c r="I312" s="680"/>
      <c r="J312" s="613" t="s">
        <v>2943</v>
      </c>
      <c r="K312" s="614"/>
      <c r="L312" s="609"/>
      <c r="M312" s="610"/>
      <c r="N312" s="497" t="s">
        <v>3596</v>
      </c>
      <c r="O312" s="497" t="s">
        <v>1894</v>
      </c>
      <c r="P312" s="1368" t="s">
        <v>3032</v>
      </c>
      <c r="Q312" s="1366"/>
      <c r="S312" s="596"/>
      <c r="T312" s="596"/>
      <c r="U312" s="596"/>
      <c r="V312" s="596"/>
      <c r="W312" s="596"/>
      <c r="X312" s="596"/>
      <c r="Y312" s="596"/>
      <c r="Z312" s="596"/>
      <c r="AA312" s="596"/>
    </row>
    <row r="313" spans="2:27" ht="12" customHeight="1">
      <c r="B313" s="766"/>
      <c r="C313" s="761" t="s">
        <v>3077</v>
      </c>
      <c r="D313" s="761" t="s">
        <v>1749</v>
      </c>
      <c r="E313" s="762" t="s">
        <v>3078</v>
      </c>
      <c r="F313" s="762" t="s">
        <v>3656</v>
      </c>
      <c r="G313" s="763" t="s">
        <v>2894</v>
      </c>
      <c r="H313" s="764" t="s">
        <v>500</v>
      </c>
      <c r="I313" s="680"/>
      <c r="J313" s="613" t="s">
        <v>2945</v>
      </c>
      <c r="K313" s="614"/>
      <c r="L313" s="609"/>
      <c r="M313" s="610"/>
      <c r="N313" s="615" t="s">
        <v>857</v>
      </c>
      <c r="O313" s="615" t="s">
        <v>3626</v>
      </c>
      <c r="P313" s="497" t="s">
        <v>2344</v>
      </c>
      <c r="Q313" s="596"/>
      <c r="S313" s="596"/>
      <c r="T313" s="596"/>
      <c r="U313" s="596"/>
      <c r="V313" s="596"/>
      <c r="W313" s="596"/>
      <c r="X313" s="596"/>
      <c r="Y313" s="596"/>
      <c r="Z313" s="596"/>
      <c r="AA313" s="596"/>
    </row>
    <row r="314" spans="2:27" ht="12" customHeight="1">
      <c r="B314" s="766"/>
      <c r="C314" s="761" t="s">
        <v>3079</v>
      </c>
      <c r="D314" s="761" t="s">
        <v>1902</v>
      </c>
      <c r="E314" s="762" t="s">
        <v>1360</v>
      </c>
      <c r="F314" s="762" t="s">
        <v>3656</v>
      </c>
      <c r="G314" s="763" t="s">
        <v>2895</v>
      </c>
      <c r="H314" s="764" t="s">
        <v>500</v>
      </c>
      <c r="I314" s="680"/>
      <c r="J314" s="613" t="s">
        <v>853</v>
      </c>
      <c r="K314" s="614"/>
      <c r="L314" s="609"/>
      <c r="M314" s="610"/>
      <c r="N314" s="615" t="s">
        <v>3546</v>
      </c>
      <c r="O314" s="615" t="s">
        <v>3628</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3656</v>
      </c>
      <c r="G315" s="763" t="s">
        <v>2896</v>
      </c>
      <c r="H315" s="764" t="s">
        <v>500</v>
      </c>
      <c r="I315" s="681"/>
      <c r="J315" s="613" t="s">
        <v>854</v>
      </c>
      <c r="K315" s="614"/>
      <c r="L315" s="609"/>
      <c r="M315" s="610"/>
      <c r="N315" s="615" t="s">
        <v>861</v>
      </c>
      <c r="O315" s="615" t="s">
        <v>3075</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3657</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3656</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3656</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3656</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3656</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3656</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3656</v>
      </c>
      <c r="G322" s="763" t="s">
        <v>1692</v>
      </c>
      <c r="H322" s="764" t="s">
        <v>500</v>
      </c>
      <c r="I322" s="681"/>
      <c r="J322" s="613" t="s">
        <v>783</v>
      </c>
      <c r="K322" s="614"/>
      <c r="L322" s="609"/>
      <c r="M322" s="610"/>
      <c r="N322" s="615" t="s">
        <v>2844</v>
      </c>
      <c r="O322" s="615" t="s">
        <v>3155</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3656</v>
      </c>
      <c r="G323" s="763" t="s">
        <v>1693</v>
      </c>
      <c r="H323" s="764" t="s">
        <v>500</v>
      </c>
      <c r="I323" s="681"/>
      <c r="J323" s="613" t="s">
        <v>1678</v>
      </c>
      <c r="K323" s="614"/>
      <c r="L323" s="609"/>
      <c r="M323" s="610"/>
      <c r="N323" s="615" t="s">
        <v>2846</v>
      </c>
      <c r="O323" s="615" t="s">
        <v>3629</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3657</v>
      </c>
      <c r="G324" s="763" t="s">
        <v>3614</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3656</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3656</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3657</v>
      </c>
      <c r="G327" s="763" t="s">
        <v>2527</v>
      </c>
      <c r="H327" s="764" t="s">
        <v>501</v>
      </c>
      <c r="I327" s="681"/>
      <c r="J327" s="613" t="s">
        <v>2845</v>
      </c>
      <c r="K327" s="614"/>
      <c r="L327" s="609"/>
      <c r="M327" s="610"/>
      <c r="N327" s="615" t="s">
        <v>410</v>
      </c>
      <c r="O327" s="615" t="s">
        <v>3375</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3657</v>
      </c>
      <c r="G328" s="763" t="s">
        <v>3611</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3656</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3656</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3656</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3656</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3656</v>
      </c>
      <c r="G333" s="763" t="s">
        <v>1700</v>
      </c>
      <c r="H333" s="764" t="s">
        <v>500</v>
      </c>
      <c r="I333" s="681"/>
      <c r="J333" s="613" t="s">
        <v>413</v>
      </c>
      <c r="K333" s="614"/>
      <c r="L333" s="609"/>
      <c r="M333" s="610"/>
      <c r="N333" s="615" t="s">
        <v>963</v>
      </c>
      <c r="O333" s="615" t="s">
        <v>3071</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3656</v>
      </c>
      <c r="G334" s="763" t="s">
        <v>3322</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3656</v>
      </c>
      <c r="G335" s="763" t="s">
        <v>3323</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3657</v>
      </c>
      <c r="G336" s="763" t="s">
        <v>3324</v>
      </c>
      <c r="H336" s="764" t="s">
        <v>501</v>
      </c>
      <c r="I336" s="681"/>
      <c r="J336" s="613" t="s">
        <v>3046</v>
      </c>
      <c r="K336" s="614"/>
      <c r="L336" s="609"/>
      <c r="M336" s="610"/>
      <c r="N336" s="497" t="s">
        <v>3597</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3372</v>
      </c>
      <c r="F337" s="762" t="s">
        <v>3656</v>
      </c>
      <c r="G337" s="763" t="s">
        <v>3325</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3373</v>
      </c>
      <c r="D338" s="761" t="s">
        <v>1902</v>
      </c>
      <c r="E338" s="765" t="s">
        <v>3374</v>
      </c>
      <c r="F338" s="765" t="s">
        <v>3656</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3375</v>
      </c>
      <c r="D339" s="761" t="s">
        <v>1902</v>
      </c>
      <c r="E339" s="765" t="s">
        <v>3376</v>
      </c>
      <c r="F339" s="765" t="s">
        <v>3656</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3377</v>
      </c>
      <c r="D340" s="761" t="s">
        <v>1749</v>
      </c>
      <c r="E340" s="765" t="s">
        <v>2637</v>
      </c>
      <c r="F340" s="765" t="s">
        <v>3657</v>
      </c>
      <c r="G340" s="763" t="s">
        <v>1683</v>
      </c>
      <c r="H340" s="764" t="s">
        <v>501</v>
      </c>
      <c r="J340" s="613" t="s">
        <v>1276</v>
      </c>
      <c r="K340" s="614"/>
      <c r="L340" s="609"/>
      <c r="M340" s="610"/>
      <c r="N340" s="615" t="s">
        <v>3407</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3409</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3598</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3405</v>
      </c>
      <c r="K343" s="614"/>
      <c r="L343" s="609"/>
      <c r="M343" s="610"/>
      <c r="N343" s="615" t="s">
        <v>454</v>
      </c>
      <c r="O343" s="615" t="s">
        <v>3493</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3406</v>
      </c>
      <c r="K344" s="614"/>
      <c r="L344" s="609"/>
      <c r="M344" s="610"/>
      <c r="N344" s="615" t="s">
        <v>456</v>
      </c>
      <c r="O344" s="615" t="s">
        <v>3064</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3408</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3410</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3411</v>
      </c>
      <c r="K347" s="614"/>
      <c r="L347" s="609"/>
      <c r="M347" s="610"/>
      <c r="N347" s="615" t="s">
        <v>1363</v>
      </c>
      <c r="O347" s="615" t="s">
        <v>3491</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3599</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3488</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3600</v>
      </c>
      <c r="O357" s="497" t="s">
        <v>3066</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3601</v>
      </c>
      <c r="O358" s="497" t="s">
        <v>3545</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3526</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3525</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3527</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2768</v>
      </c>
      <c r="O366" s="615" t="s">
        <v>3493</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3623</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3155</v>
      </c>
      <c r="O373" s="497" t="s">
        <v>3542</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3602</v>
      </c>
      <c r="O374" s="497" t="s">
        <v>3066</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3603</v>
      </c>
      <c r="O375" s="497" t="s">
        <v>3490</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3604</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3488</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3192</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3191</v>
      </c>
      <c r="K381" s="614"/>
      <c r="L381" s="609"/>
      <c r="M381" s="610"/>
      <c r="N381" s="615" t="s">
        <v>3194</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3193</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3363</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3487</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3362</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3328</v>
      </c>
      <c r="O388" s="615" t="s">
        <v>3485</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3493</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3153</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3466</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3073</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3465</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3077</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3375</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3545</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3066</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3542</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3155</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3545</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3542</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3204</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3203</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3062</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3629</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3054</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3053</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3488</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3243</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3224</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3226</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3241</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3242</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3222</v>
      </c>
      <c r="K452" s="614"/>
      <c r="L452" s="609"/>
      <c r="M452" s="610"/>
      <c r="N452" s="615" t="s">
        <v>225</v>
      </c>
      <c r="O452" s="615" t="s">
        <v>3064</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3223</v>
      </c>
      <c r="K453" s="614"/>
      <c r="L453" s="609"/>
      <c r="M453" s="610"/>
      <c r="N453" s="497" t="s">
        <v>1564</v>
      </c>
      <c r="O453" s="497" t="s">
        <v>3487</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3225</v>
      </c>
      <c r="K454" s="614"/>
      <c r="L454" s="609"/>
      <c r="M454" s="610"/>
      <c r="N454" s="615" t="s">
        <v>2853</v>
      </c>
      <c r="O454" s="615" t="s">
        <v>3375</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3375</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3161</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3160</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3317</v>
      </c>
      <c r="O467" s="615" t="s">
        <v>3487</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3319</v>
      </c>
      <c r="O468" s="615" t="s">
        <v>3073</v>
      </c>
      <c r="P468" s="610" t="s">
        <v>3319</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3490</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3318</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3487</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3394</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3393</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3094</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3095</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3543</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3071</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3260</v>
      </c>
      <c r="O488" s="615" t="s">
        <v>3628</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3262</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3261</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3633</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3487</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3069</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3498</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3490</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3621</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3077</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3626</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3490</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3067</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3542</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3628</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3375</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3245</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3244</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3545</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3621</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3487</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3632</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3493</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3631</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3198</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3198</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3265</v>
      </c>
      <c r="K558" s="614"/>
      <c r="L558" s="609"/>
      <c r="M558" s="610"/>
      <c r="N558" s="615" t="s">
        <v>3159</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3197</v>
      </c>
      <c r="K561" s="614"/>
      <c r="L561" s="609"/>
      <c r="M561" s="610"/>
      <c r="N561" s="615" t="s">
        <v>468</v>
      </c>
      <c r="O561" s="615" t="s">
        <v>3626</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3062</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3545</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3158</v>
      </c>
      <c r="K564" s="614"/>
      <c r="L564" s="609"/>
      <c r="M564" s="610"/>
      <c r="N564" s="615" t="s">
        <v>3626</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3188</v>
      </c>
      <c r="K565" s="614"/>
      <c r="L565" s="609"/>
      <c r="M565" s="610"/>
      <c r="N565" s="615" t="s">
        <v>2188</v>
      </c>
      <c r="O565" s="615" t="s">
        <v>3491</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3436</v>
      </c>
      <c r="O568" s="615" t="s">
        <v>3493</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3627</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3630</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3437</v>
      </c>
      <c r="K574" s="614"/>
      <c r="L574" s="609"/>
      <c r="M574" s="610"/>
      <c r="N574" s="615" t="s">
        <v>2695</v>
      </c>
      <c r="O574" s="615" t="s">
        <v>3153</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3153</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3627</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3628</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3062</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3069</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3185</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3187</v>
      </c>
      <c r="O586" s="615" t="s">
        <v>3066</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3626</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3186</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3590</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3591</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3592</v>
      </c>
      <c r="S601" s="497" t="s">
        <v>3487</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3593</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3594</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3595</v>
      </c>
      <c r="S604" s="497" t="s">
        <v>3487</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3596</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3071</v>
      </c>
      <c r="P606" s="610" t="s">
        <v>1082</v>
      </c>
      <c r="Q606" s="596"/>
      <c r="R606" s="497" t="s">
        <v>3597</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3598</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3599</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3600</v>
      </c>
      <c r="S609" s="497" t="s">
        <v>3066</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3601</v>
      </c>
      <c r="S610" s="497" t="s">
        <v>3545</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3626</v>
      </c>
      <c r="P611" s="610" t="s">
        <v>1087</v>
      </c>
      <c r="Q611" s="596"/>
      <c r="R611" s="497" t="s">
        <v>3155</v>
      </c>
      <c r="S611" s="497" t="s">
        <v>3542</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3377</v>
      </c>
      <c r="P612" s="610" t="s">
        <v>1088</v>
      </c>
      <c r="Q612" s="596"/>
      <c r="R612" s="497" t="s">
        <v>3602</v>
      </c>
      <c r="S612" s="497" t="s">
        <v>3066</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3490</v>
      </c>
      <c r="P613" s="610" t="s">
        <v>1089</v>
      </c>
      <c r="Q613" s="596"/>
      <c r="R613" s="497" t="s">
        <v>3603</v>
      </c>
      <c r="S613" s="497" t="s">
        <v>3490</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7" t="s">
        <v>1311</v>
      </c>
      <c r="Q614" s="596"/>
      <c r="R614" s="497" t="s">
        <v>3604</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3373</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3487</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3077</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3490</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3542</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3079</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3069</v>
      </c>
      <c r="P634" s="610" t="s">
        <v>1104</v>
      </c>
      <c r="Q634" s="596"/>
      <c r="R634" s="497" t="s">
        <v>3198</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3487</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3493</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3546</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3179</v>
      </c>
      <c r="O645" s="615" t="s">
        <v>3062</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3178</v>
      </c>
      <c r="K646" s="614"/>
      <c r="L646" s="609"/>
      <c r="M646" s="610"/>
      <c r="N646" s="615" t="s">
        <v>3181</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3180</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3533</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3532</v>
      </c>
      <c r="K649" s="614"/>
      <c r="L649" s="609"/>
      <c r="M649" s="610"/>
      <c r="N649" s="615" t="s">
        <v>3056</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3055</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3621</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3490</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3398</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3399</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3540</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3352</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3539</v>
      </c>
      <c r="K664" s="614"/>
      <c r="L664" s="609"/>
      <c r="M664" s="610"/>
      <c r="N664" s="615" t="s">
        <v>3062</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3545</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3075</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3545</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3490</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3550</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3552</v>
      </c>
      <c r="O681" s="615" t="s">
        <v>3543</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3549</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3551</v>
      </c>
      <c r="K683" s="614"/>
      <c r="L683" s="609"/>
      <c r="M683" s="610"/>
      <c r="N683" s="615" t="s">
        <v>3529</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3528</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3530</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3153</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3508</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3153</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3377</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3507</v>
      </c>
      <c r="K696" s="614"/>
      <c r="L696" s="609"/>
      <c r="M696" s="610"/>
      <c r="N696" s="615" t="s">
        <v>1303</v>
      </c>
      <c r="O696" s="615" t="s">
        <v>3066</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3509</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3510</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3228</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3153</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3168</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3170</v>
      </c>
      <c r="O703" s="615" t="s">
        <v>3062</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3172</v>
      </c>
      <c r="O704" s="615" t="s">
        <v>3377</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3227</v>
      </c>
      <c r="K705" s="614"/>
      <c r="L705" s="609"/>
      <c r="M705" s="610"/>
      <c r="N705" s="615" t="s">
        <v>1629</v>
      </c>
      <c r="O705" s="615" t="s">
        <v>3073</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3169</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3171</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3254</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3255</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3256</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3257</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3258</v>
      </c>
      <c r="O721" s="615" t="s">
        <v>3373</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3173</v>
      </c>
      <c r="O722" s="615" t="s">
        <v>3067</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3375</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3545</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3153</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3490</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3377</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3373</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3627</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3073</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3353</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3354</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3355</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3515</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2012-017 Cherokee Mill Lofts, Calhoun, Gordon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3984</v>
      </c>
      <c r="I5" s="1341"/>
      <c r="J5" s="1341"/>
      <c r="K5" s="1341"/>
      <c r="L5" s="1341"/>
      <c r="M5" s="1341"/>
      <c r="N5" s="1342"/>
      <c r="O5" s="826" t="s">
        <v>2869</v>
      </c>
      <c r="P5" s="826"/>
      <c r="Q5" s="1292" t="s">
        <v>3974</v>
      </c>
      <c r="R5" s="1341"/>
      <c r="S5" s="1342"/>
    </row>
    <row r="6" spans="1:19" s="449" customFormat="1" ht="12.6" customHeight="1">
      <c r="D6" s="498"/>
      <c r="E6" s="455" t="s">
        <v>1527</v>
      </c>
      <c r="F6" s="463"/>
      <c r="H6" s="1292" t="s">
        <v>3985</v>
      </c>
      <c r="I6" s="1341"/>
      <c r="J6" s="1341"/>
      <c r="K6" s="1341"/>
      <c r="L6" s="1341"/>
      <c r="M6" s="1341"/>
      <c r="N6" s="1342"/>
      <c r="O6" s="826" t="s">
        <v>2601</v>
      </c>
      <c r="Q6" s="1292" t="s">
        <v>3975</v>
      </c>
      <c r="R6" s="1341"/>
      <c r="S6" s="1342"/>
    </row>
    <row r="7" spans="1:19" s="449" customFormat="1" ht="12.6" customHeight="1">
      <c r="D7" s="498"/>
      <c r="E7" s="455" t="s">
        <v>876</v>
      </c>
      <c r="H7" s="1292" t="s">
        <v>1899</v>
      </c>
      <c r="I7" s="1341"/>
      <c r="J7" s="1342"/>
      <c r="K7" s="1370" t="s">
        <v>1159</v>
      </c>
      <c r="L7" s="1292" t="s">
        <v>3986</v>
      </c>
      <c r="M7" s="1341"/>
      <c r="N7" s="1342"/>
      <c r="O7" s="826" t="s">
        <v>2658</v>
      </c>
      <c r="Q7" s="1300">
        <v>7705472079</v>
      </c>
      <c r="R7" s="1305"/>
      <c r="S7" s="1301"/>
    </row>
    <row r="8" spans="1:19" s="449" customFormat="1" ht="12.6" customHeight="1">
      <c r="D8" s="498"/>
      <c r="E8" s="455" t="s">
        <v>2654</v>
      </c>
      <c r="H8" s="1306" t="s">
        <v>1337</v>
      </c>
      <c r="I8" s="839" t="s">
        <v>1843</v>
      </c>
      <c r="J8" s="1303">
        <v>307013692</v>
      </c>
      <c r="K8" s="1342"/>
      <c r="L8" s="397" t="s">
        <v>1846</v>
      </c>
      <c r="N8" s="1343">
        <v>11</v>
      </c>
      <c r="O8" s="826" t="s">
        <v>2858</v>
      </c>
      <c r="Q8" s="1300"/>
      <c r="R8" s="1305"/>
      <c r="S8" s="1301"/>
    </row>
    <row r="9" spans="1:19" s="449" customFormat="1" ht="12.6" customHeight="1">
      <c r="D9" s="498"/>
      <c r="E9" s="455" t="s">
        <v>2864</v>
      </c>
      <c r="H9" s="1300">
        <v>7705472079</v>
      </c>
      <c r="I9" s="1301"/>
      <c r="J9" s="1371"/>
      <c r="K9" s="839" t="s">
        <v>2657</v>
      </c>
      <c r="L9" s="1329">
        <v>7066025052</v>
      </c>
      <c r="M9" s="1342"/>
      <c r="N9" s="457" t="s">
        <v>2863</v>
      </c>
      <c r="O9" s="1307" t="s">
        <v>3977</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3005</v>
      </c>
      <c r="E16" s="449" t="s">
        <v>2727</v>
      </c>
      <c r="H16" s="1292" t="s">
        <v>3987</v>
      </c>
      <c r="I16" s="1341"/>
      <c r="J16" s="1341"/>
      <c r="K16" s="1341"/>
      <c r="L16" s="1341"/>
      <c r="M16" s="1341"/>
      <c r="N16" s="1342"/>
      <c r="O16" s="826" t="s">
        <v>2869</v>
      </c>
      <c r="P16" s="826"/>
      <c r="Q16" s="1292" t="s">
        <v>3974</v>
      </c>
      <c r="R16" s="1341"/>
      <c r="S16" s="1342"/>
    </row>
    <row r="17" spans="4:19" s="449" customFormat="1" ht="12.6" customHeight="1">
      <c r="D17" s="498"/>
      <c r="E17" s="455" t="s">
        <v>1527</v>
      </c>
      <c r="F17" s="463"/>
      <c r="H17" s="1292" t="s">
        <v>3985</v>
      </c>
      <c r="I17" s="1341"/>
      <c r="J17" s="1341"/>
      <c r="K17" s="1341"/>
      <c r="L17" s="1341"/>
      <c r="M17" s="1341"/>
      <c r="N17" s="1342"/>
      <c r="O17" s="826" t="s">
        <v>2601</v>
      </c>
      <c r="Q17" s="1292" t="s">
        <v>3975</v>
      </c>
      <c r="R17" s="1341"/>
      <c r="S17" s="1342"/>
    </row>
    <row r="18" spans="4:19" s="449" customFormat="1" ht="12.6" customHeight="1">
      <c r="D18" s="498"/>
      <c r="E18" s="455" t="s">
        <v>876</v>
      </c>
      <c r="H18" s="1292" t="s">
        <v>1899</v>
      </c>
      <c r="I18" s="1341"/>
      <c r="J18" s="1342"/>
      <c r="O18" s="826" t="s">
        <v>2658</v>
      </c>
      <c r="Q18" s="1300">
        <v>7705472079</v>
      </c>
      <c r="R18" s="1305"/>
      <c r="S18" s="1301"/>
    </row>
    <row r="19" spans="4:19" s="449" customFormat="1" ht="12.6" customHeight="1">
      <c r="D19" s="452"/>
      <c r="E19" s="455" t="s">
        <v>2654</v>
      </c>
      <c r="H19" s="1306" t="s">
        <v>1337</v>
      </c>
      <c r="I19" s="839" t="s">
        <v>1843</v>
      </c>
      <c r="J19" s="1303">
        <v>307013692</v>
      </c>
      <c r="K19" s="1342"/>
      <c r="L19" s="397" t="s">
        <v>1846</v>
      </c>
      <c r="N19" s="1343">
        <v>11</v>
      </c>
      <c r="O19" s="826" t="s">
        <v>2858</v>
      </c>
      <c r="Q19" s="1300"/>
      <c r="R19" s="1305"/>
      <c r="S19" s="1301"/>
    </row>
    <row r="20" spans="4:19" s="449" customFormat="1" ht="12.6" customHeight="1">
      <c r="D20" s="498"/>
      <c r="E20" s="455" t="s">
        <v>2864</v>
      </c>
      <c r="H20" s="1300">
        <v>7705472079</v>
      </c>
      <c r="I20" s="1301"/>
      <c r="J20" s="1371"/>
      <c r="K20" s="839" t="s">
        <v>2657</v>
      </c>
      <c r="L20" s="1329">
        <v>7066025052</v>
      </c>
      <c r="M20" s="1342"/>
      <c r="N20" s="457" t="s">
        <v>2863</v>
      </c>
      <c r="O20" s="1307" t="s">
        <v>3977</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3006</v>
      </c>
      <c r="E22" s="449" t="s">
        <v>2728</v>
      </c>
      <c r="F22" s="833"/>
      <c r="H22" s="1292" t="s">
        <v>3988</v>
      </c>
      <c r="I22" s="1341"/>
      <c r="J22" s="1341"/>
      <c r="K22" s="1341"/>
      <c r="L22" s="1341"/>
      <c r="M22" s="1341"/>
      <c r="N22" s="1342"/>
      <c r="O22" s="826" t="s">
        <v>2869</v>
      </c>
      <c r="P22" s="826"/>
      <c r="Q22" s="1292" t="s">
        <v>3989</v>
      </c>
      <c r="R22" s="1341"/>
      <c r="S22" s="1342"/>
    </row>
    <row r="23" spans="4:19" s="449" customFormat="1" ht="12.6" customHeight="1">
      <c r="D23" s="498"/>
      <c r="E23" s="455" t="s">
        <v>1527</v>
      </c>
      <c r="F23" s="463"/>
      <c r="H23" s="1292" t="s">
        <v>3990</v>
      </c>
      <c r="I23" s="1341"/>
      <c r="J23" s="1341"/>
      <c r="K23" s="1341"/>
      <c r="L23" s="1341"/>
      <c r="M23" s="1341"/>
      <c r="N23" s="1342"/>
      <c r="O23" s="826" t="s">
        <v>2601</v>
      </c>
      <c r="Q23" s="1292" t="s">
        <v>3991</v>
      </c>
      <c r="R23" s="1341"/>
      <c r="S23" s="1342"/>
    </row>
    <row r="24" spans="4:19" s="449" customFormat="1" ht="12.6" customHeight="1">
      <c r="D24" s="498"/>
      <c r="E24" s="455" t="s">
        <v>876</v>
      </c>
      <c r="H24" s="1292" t="s">
        <v>3992</v>
      </c>
      <c r="I24" s="1341"/>
      <c r="J24" s="1342"/>
      <c r="O24" s="826" t="s">
        <v>2658</v>
      </c>
      <c r="Q24" s="1300">
        <v>3367148942</v>
      </c>
      <c r="R24" s="1305"/>
      <c r="S24" s="1301"/>
    </row>
    <row r="25" spans="4:19" s="449" customFormat="1" ht="12.6" customHeight="1">
      <c r="E25" s="455" t="s">
        <v>2654</v>
      </c>
      <c r="H25" s="1306" t="s">
        <v>1917</v>
      </c>
      <c r="I25" s="483" t="s">
        <v>3137</v>
      </c>
      <c r="J25" s="1303">
        <v>271014153</v>
      </c>
      <c r="K25" s="1342"/>
      <c r="O25" s="826" t="s">
        <v>2858</v>
      </c>
      <c r="Q25" s="1300">
        <v>9046162643</v>
      </c>
      <c r="R25" s="1305"/>
      <c r="S25" s="1301"/>
    </row>
    <row r="26" spans="4:19" s="449" customFormat="1" ht="12.6" customHeight="1">
      <c r="D26" s="498"/>
      <c r="E26" s="455" t="s">
        <v>2864</v>
      </c>
      <c r="H26" s="1300">
        <v>3367148942</v>
      </c>
      <c r="I26" s="1301"/>
      <c r="J26" s="1371"/>
      <c r="K26" s="839" t="s">
        <v>2657</v>
      </c>
      <c r="L26" s="1329">
        <v>3367223603</v>
      </c>
      <c r="M26" s="1342"/>
      <c r="N26" s="457" t="s">
        <v>2863</v>
      </c>
      <c r="O26" s="1307" t="s">
        <v>3993</v>
      </c>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6" t="s">
        <v>2869</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2658</v>
      </c>
      <c r="Q30" s="1300"/>
      <c r="R30" s="1305"/>
      <c r="S30" s="1301"/>
    </row>
    <row r="31" spans="4:19" s="449" customFormat="1" ht="12.6" customHeight="1">
      <c r="E31" s="455" t="s">
        <v>2654</v>
      </c>
      <c r="H31" s="1306"/>
      <c r="I31" s="483" t="s">
        <v>3137</v>
      </c>
      <c r="J31" s="1303"/>
      <c r="K31" s="1342"/>
      <c r="O31" s="826" t="s">
        <v>2858</v>
      </c>
      <c r="Q31" s="1300"/>
      <c r="R31" s="1305"/>
      <c r="S31" s="1301"/>
    </row>
    <row r="32" spans="4:19" s="449" customFormat="1" ht="12.6" customHeight="1">
      <c r="D32" s="498"/>
      <c r="E32" s="455" t="s">
        <v>2864</v>
      </c>
      <c r="H32" s="1300"/>
      <c r="I32" s="1301"/>
      <c r="J32" s="1371"/>
      <c r="K32" s="839" t="s">
        <v>2657</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3005</v>
      </c>
      <c r="E36" s="449" t="s">
        <v>1146</v>
      </c>
      <c r="H36" s="1292" t="s">
        <v>4030</v>
      </c>
      <c r="I36" s="1341"/>
      <c r="J36" s="1341"/>
      <c r="K36" s="1341"/>
      <c r="L36" s="1341"/>
      <c r="M36" s="1341"/>
      <c r="N36" s="1342"/>
      <c r="O36" s="826" t="s">
        <v>2869</v>
      </c>
      <c r="P36" s="826"/>
      <c r="Q36" s="1292" t="s">
        <v>4031</v>
      </c>
      <c r="R36" s="1341"/>
      <c r="S36" s="1342"/>
    </row>
    <row r="37" spans="3:19" s="449" customFormat="1" ht="12.6" customHeight="1">
      <c r="D37" s="498"/>
      <c r="E37" s="455" t="s">
        <v>1527</v>
      </c>
      <c r="F37" s="463"/>
      <c r="H37" s="1292" t="s">
        <v>4032</v>
      </c>
      <c r="I37" s="1341"/>
      <c r="J37" s="1341"/>
      <c r="K37" s="1341"/>
      <c r="L37" s="1341"/>
      <c r="M37" s="1341"/>
      <c r="N37" s="1342"/>
      <c r="O37" s="826" t="s">
        <v>2601</v>
      </c>
      <c r="Q37" s="1292" t="s">
        <v>4033</v>
      </c>
      <c r="R37" s="1341"/>
      <c r="S37" s="1342"/>
    </row>
    <row r="38" spans="3:19" s="449" customFormat="1" ht="12.6" customHeight="1">
      <c r="D38" s="498"/>
      <c r="E38" s="455" t="s">
        <v>876</v>
      </c>
      <c r="H38" s="1292" t="s">
        <v>4034</v>
      </c>
      <c r="I38" s="1341"/>
      <c r="J38" s="1342"/>
      <c r="O38" s="826" t="s">
        <v>2658</v>
      </c>
      <c r="Q38" s="1300">
        <v>9197881819</v>
      </c>
      <c r="R38" s="1305"/>
      <c r="S38" s="1301"/>
    </row>
    <row r="39" spans="3:19" s="449" customFormat="1" ht="12.6" customHeight="1">
      <c r="E39" s="455" t="s">
        <v>2654</v>
      </c>
      <c r="H39" s="1306" t="s">
        <v>1917</v>
      </c>
      <c r="I39" s="483" t="s">
        <v>3137</v>
      </c>
      <c r="J39" s="1303">
        <v>276150063</v>
      </c>
      <c r="K39" s="1342"/>
      <c r="O39" s="826" t="s">
        <v>2858</v>
      </c>
      <c r="Q39" s="1300"/>
      <c r="R39" s="1305"/>
      <c r="S39" s="1301"/>
    </row>
    <row r="40" spans="3:19" s="449" customFormat="1" ht="12.6" customHeight="1">
      <c r="D40" s="498"/>
      <c r="E40" s="455" t="s">
        <v>2864</v>
      </c>
      <c r="H40" s="1300">
        <v>9194200063</v>
      </c>
      <c r="I40" s="1301"/>
      <c r="J40" s="1371">
        <v>267</v>
      </c>
      <c r="K40" s="839" t="s">
        <v>2657</v>
      </c>
      <c r="L40" s="1329">
        <v>9195321819</v>
      </c>
      <c r="M40" s="1342"/>
      <c r="N40" s="457" t="s">
        <v>2863</v>
      </c>
      <c r="O40" s="1307" t="s">
        <v>4035</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3006</v>
      </c>
      <c r="E42" s="449" t="s">
        <v>1147</v>
      </c>
      <c r="F42" s="452"/>
      <c r="H42" s="1292" t="s">
        <v>4030</v>
      </c>
      <c r="I42" s="1341"/>
      <c r="J42" s="1341"/>
      <c r="K42" s="1341"/>
      <c r="L42" s="1341"/>
      <c r="M42" s="1341"/>
      <c r="N42" s="1342"/>
      <c r="O42" s="826" t="s">
        <v>2869</v>
      </c>
      <c r="P42" s="826"/>
      <c r="Q42" s="1292" t="s">
        <v>4031</v>
      </c>
      <c r="R42" s="1341"/>
      <c r="S42" s="1342"/>
    </row>
    <row r="43" spans="3:19" s="449" customFormat="1" ht="12.6" customHeight="1">
      <c r="D43" s="498"/>
      <c r="E43" s="455" t="s">
        <v>1527</v>
      </c>
      <c r="F43" s="463"/>
      <c r="H43" s="1292" t="s">
        <v>4032</v>
      </c>
      <c r="I43" s="1341"/>
      <c r="J43" s="1341"/>
      <c r="K43" s="1341"/>
      <c r="L43" s="1341"/>
      <c r="M43" s="1341"/>
      <c r="N43" s="1342"/>
      <c r="O43" s="826" t="s">
        <v>2601</v>
      </c>
      <c r="Q43" s="1292" t="s">
        <v>4033</v>
      </c>
      <c r="R43" s="1341"/>
      <c r="S43" s="1342"/>
    </row>
    <row r="44" spans="3:19" s="449" customFormat="1" ht="12.6" customHeight="1">
      <c r="D44" s="498"/>
      <c r="E44" s="455" t="s">
        <v>876</v>
      </c>
      <c r="H44" s="1292" t="s">
        <v>4034</v>
      </c>
      <c r="I44" s="1341"/>
      <c r="J44" s="1342"/>
      <c r="O44" s="826" t="s">
        <v>2658</v>
      </c>
      <c r="Q44" s="1300">
        <v>9197881819</v>
      </c>
      <c r="R44" s="1305"/>
      <c r="S44" s="1301"/>
    </row>
    <row r="45" spans="3:19" s="449" customFormat="1" ht="12.6" customHeight="1">
      <c r="D45" s="452"/>
      <c r="E45" s="455" t="s">
        <v>2654</v>
      </c>
      <c r="H45" s="1306" t="s">
        <v>1917</v>
      </c>
      <c r="I45" s="483" t="s">
        <v>3137</v>
      </c>
      <c r="J45" s="1303">
        <v>276150063</v>
      </c>
      <c r="K45" s="1342"/>
      <c r="O45" s="826" t="s">
        <v>2858</v>
      </c>
      <c r="Q45" s="1300"/>
      <c r="R45" s="1305"/>
      <c r="S45" s="1301"/>
    </row>
    <row r="46" spans="3:19" s="449" customFormat="1" ht="12.6" customHeight="1">
      <c r="D46" s="498"/>
      <c r="E46" s="455" t="s">
        <v>2864</v>
      </c>
      <c r="H46" s="1300">
        <v>9194200063</v>
      </c>
      <c r="I46" s="1301"/>
      <c r="J46" s="1371">
        <v>267</v>
      </c>
      <c r="K46" s="839" t="s">
        <v>2657</v>
      </c>
      <c r="L46" s="1329">
        <v>9195321819</v>
      </c>
      <c r="M46" s="1342"/>
      <c r="N46" s="457" t="s">
        <v>2863</v>
      </c>
      <c r="O46" s="1307" t="s">
        <v>4035</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3548</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t="s">
        <v>3994</v>
      </c>
      <c r="I50" s="1341"/>
      <c r="J50" s="1341"/>
      <c r="K50" s="1341"/>
      <c r="L50" s="1341"/>
      <c r="M50" s="1341"/>
      <c r="N50" s="1342"/>
      <c r="O50" s="826" t="s">
        <v>2869</v>
      </c>
      <c r="P50" s="826"/>
      <c r="Q50" s="1292" t="s">
        <v>3974</v>
      </c>
      <c r="R50" s="1341"/>
      <c r="S50" s="1342"/>
    </row>
    <row r="51" spans="1:19" s="449" customFormat="1" ht="12.6" customHeight="1">
      <c r="D51" s="498"/>
      <c r="E51" s="455" t="s">
        <v>1527</v>
      </c>
      <c r="F51" s="463"/>
      <c r="H51" s="1292" t="s">
        <v>3985</v>
      </c>
      <c r="I51" s="1341"/>
      <c r="J51" s="1341"/>
      <c r="K51" s="1341"/>
      <c r="L51" s="1341"/>
      <c r="M51" s="1341"/>
      <c r="N51" s="1342"/>
      <c r="O51" s="826" t="s">
        <v>2601</v>
      </c>
      <c r="Q51" s="1292" t="s">
        <v>3975</v>
      </c>
      <c r="R51" s="1341"/>
      <c r="S51" s="1342"/>
    </row>
    <row r="52" spans="1:19" s="449" customFormat="1" ht="12.6" customHeight="1">
      <c r="D52" s="498"/>
      <c r="E52" s="455" t="s">
        <v>876</v>
      </c>
      <c r="H52" s="1292" t="s">
        <v>1899</v>
      </c>
      <c r="I52" s="1341"/>
      <c r="J52" s="1342"/>
      <c r="O52" s="826" t="s">
        <v>2658</v>
      </c>
      <c r="Q52" s="1300">
        <v>7705472079</v>
      </c>
      <c r="R52" s="1305"/>
      <c r="S52" s="1301"/>
    </row>
    <row r="53" spans="1:19" s="449" customFormat="1" ht="12.6" customHeight="1">
      <c r="E53" s="455" t="s">
        <v>2654</v>
      </c>
      <c r="H53" s="1306" t="s">
        <v>1337</v>
      </c>
      <c r="I53" s="483" t="s">
        <v>3137</v>
      </c>
      <c r="J53" s="1303">
        <v>307013692</v>
      </c>
      <c r="K53" s="1342"/>
      <c r="O53" s="826" t="s">
        <v>2858</v>
      </c>
      <c r="Q53" s="1300"/>
      <c r="R53" s="1305"/>
      <c r="S53" s="1301"/>
    </row>
    <row r="54" spans="1:19" s="449" customFormat="1" ht="12.6" customHeight="1">
      <c r="D54" s="498"/>
      <c r="E54" s="455" t="s">
        <v>2864</v>
      </c>
      <c r="H54" s="1300">
        <v>7705472079</v>
      </c>
      <c r="I54" s="1301"/>
      <c r="J54" s="1371"/>
      <c r="K54" s="839" t="s">
        <v>2657</v>
      </c>
      <c r="L54" s="1329">
        <v>7066025052</v>
      </c>
      <c r="M54" s="1342"/>
      <c r="N54" s="457" t="s">
        <v>2863</v>
      </c>
      <c r="O54" s="1307" t="s">
        <v>3977</v>
      </c>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2862</v>
      </c>
      <c r="C58" s="452" t="s">
        <v>349</v>
      </c>
      <c r="H58" s="1292" t="s">
        <v>3994</v>
      </c>
      <c r="I58" s="1341"/>
      <c r="J58" s="1341"/>
      <c r="K58" s="1341"/>
      <c r="L58" s="1341"/>
      <c r="M58" s="1341"/>
      <c r="N58" s="1342"/>
      <c r="O58" s="826" t="s">
        <v>2869</v>
      </c>
      <c r="P58" s="826"/>
      <c r="Q58" s="1292" t="s">
        <v>3974</v>
      </c>
      <c r="R58" s="1341"/>
      <c r="S58" s="1342"/>
    </row>
    <row r="59" spans="1:19" s="449" customFormat="1" ht="13.15" customHeight="1">
      <c r="D59" s="498"/>
      <c r="E59" s="455" t="s">
        <v>1527</v>
      </c>
      <c r="F59" s="463"/>
      <c r="H59" s="1292" t="s">
        <v>3985</v>
      </c>
      <c r="I59" s="1341"/>
      <c r="J59" s="1341"/>
      <c r="K59" s="1341"/>
      <c r="L59" s="1341"/>
      <c r="M59" s="1341"/>
      <c r="N59" s="1342"/>
      <c r="O59" s="826" t="s">
        <v>2601</v>
      </c>
      <c r="Q59" s="1292" t="s">
        <v>3975</v>
      </c>
      <c r="R59" s="1341"/>
      <c r="S59" s="1342"/>
    </row>
    <row r="60" spans="1:19" s="449" customFormat="1" ht="13.15" customHeight="1">
      <c r="D60" s="498"/>
      <c r="E60" s="455" t="s">
        <v>876</v>
      </c>
      <c r="H60" s="1292" t="s">
        <v>3995</v>
      </c>
      <c r="I60" s="1341"/>
      <c r="J60" s="1342"/>
      <c r="O60" s="826" t="s">
        <v>2658</v>
      </c>
      <c r="Q60" s="1300">
        <v>7705472079</v>
      </c>
      <c r="R60" s="1305"/>
      <c r="S60" s="1301"/>
    </row>
    <row r="61" spans="1:19" s="449" customFormat="1" ht="13.15" customHeight="1">
      <c r="E61" s="455" t="s">
        <v>2654</v>
      </c>
      <c r="H61" s="1306" t="s">
        <v>1337</v>
      </c>
      <c r="I61" s="483" t="s">
        <v>3137</v>
      </c>
      <c r="J61" s="1303">
        <v>307013692</v>
      </c>
      <c r="K61" s="1342"/>
      <c r="O61" s="826" t="s">
        <v>2858</v>
      </c>
      <c r="Q61" s="1300"/>
      <c r="R61" s="1305"/>
      <c r="S61" s="1301"/>
    </row>
    <row r="62" spans="1:19" s="449" customFormat="1" ht="13.15" customHeight="1">
      <c r="D62" s="498"/>
      <c r="E62" s="455" t="s">
        <v>2864</v>
      </c>
      <c r="H62" s="1300">
        <v>7705472079</v>
      </c>
      <c r="I62" s="1301"/>
      <c r="J62" s="1371"/>
      <c r="K62" s="839" t="s">
        <v>2657</v>
      </c>
      <c r="L62" s="1329">
        <v>7066025052</v>
      </c>
      <c r="M62" s="1342"/>
      <c r="N62" s="457" t="s">
        <v>2863</v>
      </c>
      <c r="O62" s="1307" t="s">
        <v>3977</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2865</v>
      </c>
      <c r="C64" s="452" t="s">
        <v>350</v>
      </c>
      <c r="H64" s="1292" t="s">
        <v>3996</v>
      </c>
      <c r="I64" s="1341"/>
      <c r="J64" s="1341"/>
      <c r="K64" s="1341"/>
      <c r="L64" s="1341"/>
      <c r="M64" s="1341"/>
      <c r="N64" s="1342"/>
      <c r="O64" s="826" t="s">
        <v>2869</v>
      </c>
      <c r="P64" s="826"/>
      <c r="Q64" s="1292" t="s">
        <v>3997</v>
      </c>
      <c r="R64" s="1341"/>
      <c r="S64" s="1342"/>
    </row>
    <row r="65" spans="2:19" s="449" customFormat="1" ht="13.15" customHeight="1">
      <c r="D65" s="498"/>
      <c r="E65" s="455" t="s">
        <v>1527</v>
      </c>
      <c r="F65" s="463"/>
      <c r="H65" s="1292" t="s">
        <v>3990</v>
      </c>
      <c r="I65" s="1341"/>
      <c r="J65" s="1341"/>
      <c r="K65" s="1341"/>
      <c r="L65" s="1341"/>
      <c r="M65" s="1341"/>
      <c r="N65" s="1342"/>
      <c r="O65" s="826" t="s">
        <v>2601</v>
      </c>
      <c r="Q65" s="1292" t="s">
        <v>3998</v>
      </c>
      <c r="R65" s="1341"/>
      <c r="S65" s="1342"/>
    </row>
    <row r="66" spans="2:19" s="449" customFormat="1" ht="13.15" customHeight="1">
      <c r="D66" s="498"/>
      <c r="E66" s="455" t="s">
        <v>876</v>
      </c>
      <c r="H66" s="1292" t="s">
        <v>3992</v>
      </c>
      <c r="I66" s="1341"/>
      <c r="J66" s="1342"/>
      <c r="O66" s="826" t="s">
        <v>2658</v>
      </c>
      <c r="Q66" s="1300">
        <v>3367148910</v>
      </c>
      <c r="R66" s="1305"/>
      <c r="S66" s="1301"/>
    </row>
    <row r="67" spans="2:19" s="449" customFormat="1" ht="13.15" customHeight="1">
      <c r="E67" s="455" t="s">
        <v>2654</v>
      </c>
      <c r="H67" s="1306" t="s">
        <v>1917</v>
      </c>
      <c r="I67" s="483" t="s">
        <v>3137</v>
      </c>
      <c r="J67" s="1303">
        <v>271014153</v>
      </c>
      <c r="K67" s="1342"/>
      <c r="O67" s="826" t="s">
        <v>2858</v>
      </c>
      <c r="Q67" s="1300"/>
      <c r="R67" s="1305"/>
      <c r="S67" s="1301"/>
    </row>
    <row r="68" spans="2:19" s="449" customFormat="1" ht="13.15" customHeight="1">
      <c r="D68" s="498"/>
      <c r="E68" s="455" t="s">
        <v>2864</v>
      </c>
      <c r="H68" s="1300">
        <v>3367229871</v>
      </c>
      <c r="I68" s="1301"/>
      <c r="J68" s="1371"/>
      <c r="K68" s="839" t="s">
        <v>2657</v>
      </c>
      <c r="L68" s="1329">
        <v>3367223603</v>
      </c>
      <c r="M68" s="1342"/>
      <c r="N68" s="457" t="s">
        <v>2863</v>
      </c>
      <c r="O68" s="1307" t="s">
        <v>3993</v>
      </c>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2869</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2658</v>
      </c>
      <c r="Q72" s="1300"/>
      <c r="R72" s="1305"/>
      <c r="S72" s="1301"/>
    </row>
    <row r="73" spans="2:19" s="449" customFormat="1" ht="13.15" customHeight="1">
      <c r="E73" s="455" t="s">
        <v>2654</v>
      </c>
      <c r="H73" s="1306"/>
      <c r="I73" s="483" t="s">
        <v>3137</v>
      </c>
      <c r="J73" s="1303"/>
      <c r="K73" s="1342"/>
      <c r="O73" s="826" t="s">
        <v>2858</v>
      </c>
      <c r="Q73" s="1300"/>
      <c r="R73" s="1305"/>
      <c r="S73" s="1301"/>
    </row>
    <row r="74" spans="2:19" s="449" customFormat="1" ht="13.15" customHeight="1">
      <c r="D74" s="498"/>
      <c r="E74" s="455" t="s">
        <v>2864</v>
      </c>
      <c r="H74" s="1300"/>
      <c r="I74" s="1301"/>
      <c r="J74" s="1371"/>
      <c r="K74" s="839" t="s">
        <v>2657</v>
      </c>
      <c r="L74" s="1329"/>
      <c r="M74" s="1342"/>
      <c r="N74" s="457" t="s">
        <v>2863</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3004</v>
      </c>
      <c r="C76" s="452" t="s">
        <v>351</v>
      </c>
      <c r="H76" s="1292"/>
      <c r="I76" s="1341"/>
      <c r="J76" s="1341"/>
      <c r="K76" s="1341"/>
      <c r="L76" s="1341"/>
      <c r="M76" s="1341"/>
      <c r="N76" s="1342"/>
      <c r="O76" s="826" t="s">
        <v>2869</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2658</v>
      </c>
      <c r="Q78" s="1300"/>
      <c r="R78" s="1305"/>
      <c r="S78" s="1301"/>
    </row>
    <row r="79" spans="2:19" s="449" customFormat="1" ht="13.15" customHeight="1">
      <c r="E79" s="455" t="s">
        <v>2654</v>
      </c>
      <c r="H79" s="1306"/>
      <c r="I79" s="483" t="s">
        <v>3137</v>
      </c>
      <c r="J79" s="1303"/>
      <c r="K79" s="1342"/>
      <c r="O79" s="826" t="s">
        <v>2858</v>
      </c>
      <c r="Q79" s="1300"/>
      <c r="R79" s="1305"/>
      <c r="S79" s="1301"/>
    </row>
    <row r="80" spans="2:19" s="449" customFormat="1" ht="13.15" customHeight="1">
      <c r="D80" s="498"/>
      <c r="E80" s="455" t="s">
        <v>2864</v>
      </c>
      <c r="H80" s="1300"/>
      <c r="I80" s="1301"/>
      <c r="J80" s="1371"/>
      <c r="K80" s="839" t="s">
        <v>2657</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2862</v>
      </c>
      <c r="C84" s="452" t="s">
        <v>353</v>
      </c>
      <c r="H84" s="1292"/>
      <c r="I84" s="1341"/>
      <c r="J84" s="1341"/>
      <c r="K84" s="1341"/>
      <c r="L84" s="1341"/>
      <c r="M84" s="1341"/>
      <c r="N84" s="1342"/>
      <c r="O84" s="826" t="s">
        <v>2869</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2658</v>
      </c>
      <c r="Q86" s="1300"/>
      <c r="R86" s="1305"/>
      <c r="S86" s="1301"/>
    </row>
    <row r="87" spans="1:19" s="449" customFormat="1" ht="13.15" customHeight="1">
      <c r="E87" s="455" t="s">
        <v>2654</v>
      </c>
      <c r="H87" s="1306"/>
      <c r="I87" s="483" t="s">
        <v>3137</v>
      </c>
      <c r="J87" s="1303"/>
      <c r="K87" s="1342"/>
      <c r="O87" s="826" t="s">
        <v>2858</v>
      </c>
      <c r="Q87" s="1300"/>
      <c r="R87" s="1305"/>
      <c r="S87" s="1301"/>
    </row>
    <row r="88" spans="1:19" s="449" customFormat="1" ht="13.15" customHeight="1">
      <c r="D88" s="498"/>
      <c r="E88" s="455" t="s">
        <v>2864</v>
      </c>
      <c r="H88" s="1300"/>
      <c r="I88" s="1301"/>
      <c r="J88" s="1371"/>
      <c r="K88" s="839" t="s">
        <v>2657</v>
      </c>
      <c r="L88" s="1329"/>
      <c r="M88" s="1342"/>
      <c r="N88" s="457" t="s">
        <v>2863</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2865</v>
      </c>
      <c r="C90" s="452" t="s">
        <v>354</v>
      </c>
      <c r="H90" s="1292" t="s">
        <v>3999</v>
      </c>
      <c r="I90" s="1341"/>
      <c r="J90" s="1341"/>
      <c r="K90" s="1341"/>
      <c r="L90" s="1341"/>
      <c r="M90" s="1341"/>
      <c r="N90" s="1342"/>
      <c r="O90" s="826" t="s">
        <v>2869</v>
      </c>
      <c r="P90" s="826"/>
      <c r="Q90" s="1292" t="s">
        <v>4000</v>
      </c>
      <c r="R90" s="1341"/>
      <c r="S90" s="1342"/>
    </row>
    <row r="91" spans="1:19" s="449" customFormat="1" ht="13.15" customHeight="1">
      <c r="D91" s="498"/>
      <c r="E91" s="455" t="s">
        <v>1527</v>
      </c>
      <c r="F91" s="463"/>
      <c r="H91" s="1292" t="s">
        <v>4001</v>
      </c>
      <c r="I91" s="1341"/>
      <c r="J91" s="1341"/>
      <c r="K91" s="1341"/>
      <c r="L91" s="1341"/>
      <c r="M91" s="1341"/>
      <c r="N91" s="1342"/>
      <c r="O91" s="826" t="s">
        <v>2601</v>
      </c>
      <c r="Q91" s="1292" t="s">
        <v>3991</v>
      </c>
      <c r="R91" s="1341"/>
      <c r="S91" s="1342"/>
    </row>
    <row r="92" spans="1:19" s="449" customFormat="1" ht="13.15" customHeight="1">
      <c r="D92" s="498"/>
      <c r="E92" s="455" t="s">
        <v>876</v>
      </c>
      <c r="H92" s="1292" t="s">
        <v>3992</v>
      </c>
      <c r="I92" s="1341"/>
      <c r="J92" s="1342"/>
      <c r="O92" s="826" t="s">
        <v>2658</v>
      </c>
      <c r="Q92" s="1300">
        <v>3367148930</v>
      </c>
      <c r="R92" s="1305"/>
      <c r="S92" s="1301"/>
    </row>
    <row r="93" spans="1:19" s="449" customFormat="1" ht="13.15" customHeight="1">
      <c r="E93" s="455" t="s">
        <v>2654</v>
      </c>
      <c r="H93" s="1306" t="s">
        <v>1917</v>
      </c>
      <c r="I93" s="483" t="s">
        <v>3137</v>
      </c>
      <c r="J93" s="1303">
        <v>271014171</v>
      </c>
      <c r="K93" s="1342"/>
      <c r="O93" s="826" t="s">
        <v>2858</v>
      </c>
      <c r="Q93" s="1300">
        <v>3366815171</v>
      </c>
      <c r="R93" s="1305"/>
      <c r="S93" s="1301"/>
    </row>
    <row r="94" spans="1:19" s="449" customFormat="1" ht="13.15" customHeight="1">
      <c r="D94" s="498"/>
      <c r="E94" s="455" t="s">
        <v>2864</v>
      </c>
      <c r="H94" s="1300">
        <v>3367226132</v>
      </c>
      <c r="I94" s="1301"/>
      <c r="J94" s="1371"/>
      <c r="K94" s="839" t="s">
        <v>2657</v>
      </c>
      <c r="L94" s="1329">
        <v>3367229872</v>
      </c>
      <c r="M94" s="1342"/>
      <c r="N94" s="457" t="s">
        <v>2863</v>
      </c>
      <c r="O94" s="1307" t="s">
        <v>4002</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4003</v>
      </c>
      <c r="I96" s="1341"/>
      <c r="J96" s="1341"/>
      <c r="K96" s="1341"/>
      <c r="L96" s="1341"/>
      <c r="M96" s="1341"/>
      <c r="N96" s="1342"/>
      <c r="O96" s="826" t="s">
        <v>2869</v>
      </c>
      <c r="P96" s="826"/>
      <c r="Q96" s="1292" t="s">
        <v>4004</v>
      </c>
      <c r="R96" s="1341"/>
      <c r="S96" s="1342"/>
    </row>
    <row r="97" spans="2:19" s="449" customFormat="1" ht="13.15" customHeight="1">
      <c r="D97" s="498"/>
      <c r="E97" s="455" t="s">
        <v>1527</v>
      </c>
      <c r="F97" s="463"/>
      <c r="H97" s="1292" t="s">
        <v>3990</v>
      </c>
      <c r="I97" s="1341"/>
      <c r="J97" s="1341"/>
      <c r="K97" s="1341"/>
      <c r="L97" s="1341"/>
      <c r="M97" s="1341"/>
      <c r="N97" s="1342"/>
      <c r="O97" s="826" t="s">
        <v>2601</v>
      </c>
      <c r="Q97" s="1292" t="s">
        <v>4005</v>
      </c>
      <c r="R97" s="1341"/>
      <c r="S97" s="1342"/>
    </row>
    <row r="98" spans="2:19" s="449" customFormat="1" ht="13.15" customHeight="1">
      <c r="D98" s="498"/>
      <c r="E98" s="455" t="s">
        <v>876</v>
      </c>
      <c r="H98" s="1292" t="s">
        <v>3992</v>
      </c>
      <c r="I98" s="1341"/>
      <c r="J98" s="1342"/>
      <c r="O98" s="826" t="s">
        <v>2658</v>
      </c>
      <c r="Q98" s="1300">
        <v>3367148939</v>
      </c>
      <c r="R98" s="1305"/>
      <c r="S98" s="1301"/>
    </row>
    <row r="99" spans="2:19" s="449" customFormat="1" ht="13.15" customHeight="1">
      <c r="D99" s="498"/>
      <c r="E99" s="455" t="s">
        <v>2654</v>
      </c>
      <c r="H99" s="1306" t="s">
        <v>1917</v>
      </c>
      <c r="I99" s="483" t="s">
        <v>3137</v>
      </c>
      <c r="J99" s="1303">
        <v>271014153</v>
      </c>
      <c r="K99" s="1342"/>
      <c r="O99" s="826" t="s">
        <v>2858</v>
      </c>
      <c r="Q99" s="1300">
        <v>3369723589</v>
      </c>
      <c r="R99" s="1305"/>
      <c r="S99" s="1301"/>
    </row>
    <row r="100" spans="2:19" s="449" customFormat="1" ht="13.15" customHeight="1">
      <c r="D100" s="498"/>
      <c r="E100" s="455" t="s">
        <v>2864</v>
      </c>
      <c r="H100" s="1300">
        <v>3367229871</v>
      </c>
      <c r="I100" s="1301"/>
      <c r="J100" s="1371">
        <v>127</v>
      </c>
      <c r="K100" s="839" t="s">
        <v>2657</v>
      </c>
      <c r="L100" s="1329">
        <v>3367223603</v>
      </c>
      <c r="M100" s="1342"/>
      <c r="N100" s="457" t="s">
        <v>2863</v>
      </c>
      <c r="O100" s="1307" t="s">
        <v>4006</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3004</v>
      </c>
      <c r="C102" s="452" t="s">
        <v>356</v>
      </c>
      <c r="H102" s="1292" t="s">
        <v>4007</v>
      </c>
      <c r="I102" s="1341"/>
      <c r="J102" s="1341"/>
      <c r="K102" s="1341"/>
      <c r="L102" s="1341"/>
      <c r="M102" s="1341"/>
      <c r="N102" s="1342"/>
      <c r="O102" s="826" t="s">
        <v>2869</v>
      </c>
      <c r="P102" s="826"/>
      <c r="Q102" s="1292" t="s">
        <v>4008</v>
      </c>
      <c r="R102" s="1341"/>
      <c r="S102" s="1342"/>
    </row>
    <row r="103" spans="2:19" s="449" customFormat="1" ht="13.15" customHeight="1">
      <c r="D103" s="498"/>
      <c r="E103" s="455" t="s">
        <v>1527</v>
      </c>
      <c r="F103" s="463"/>
      <c r="H103" s="1292" t="s">
        <v>4009</v>
      </c>
      <c r="I103" s="1341"/>
      <c r="J103" s="1341"/>
      <c r="K103" s="1341"/>
      <c r="L103" s="1341"/>
      <c r="M103" s="1341"/>
      <c r="N103" s="1342"/>
      <c r="O103" s="826" t="s">
        <v>2601</v>
      </c>
      <c r="Q103" s="1292" t="s">
        <v>4010</v>
      </c>
      <c r="R103" s="1341"/>
      <c r="S103" s="1342"/>
    </row>
    <row r="104" spans="2:19" s="449" customFormat="1" ht="13.15" customHeight="1">
      <c r="D104" s="498"/>
      <c r="E104" s="455" t="s">
        <v>876</v>
      </c>
      <c r="H104" s="1292" t="s">
        <v>3181</v>
      </c>
      <c r="I104" s="1341"/>
      <c r="J104" s="1342"/>
      <c r="O104" s="826" t="s">
        <v>2658</v>
      </c>
      <c r="Q104" s="1300">
        <v>7062910040</v>
      </c>
      <c r="R104" s="1305"/>
      <c r="S104" s="1301"/>
    </row>
    <row r="105" spans="2:19" s="449" customFormat="1" ht="13.15" customHeight="1">
      <c r="D105" s="498"/>
      <c r="E105" s="455" t="s">
        <v>2654</v>
      </c>
      <c r="H105" s="1306" t="s">
        <v>1337</v>
      </c>
      <c r="I105" s="483" t="s">
        <v>3137</v>
      </c>
      <c r="J105" s="1303">
        <v>301615224</v>
      </c>
      <c r="K105" s="1342"/>
      <c r="O105" s="826" t="s">
        <v>2858</v>
      </c>
      <c r="Q105" s="1300"/>
      <c r="R105" s="1305"/>
      <c r="S105" s="1301"/>
    </row>
    <row r="106" spans="2:19" ht="13.15" customHeight="1">
      <c r="E106" s="455" t="s">
        <v>2864</v>
      </c>
      <c r="F106" s="449"/>
      <c r="G106" s="449"/>
      <c r="H106" s="1300">
        <v>7062910040</v>
      </c>
      <c r="I106" s="1301"/>
      <c r="J106" s="1371"/>
      <c r="K106" s="839" t="s">
        <v>2657</v>
      </c>
      <c r="L106" s="1329">
        <v>7062910041</v>
      </c>
      <c r="M106" s="1342"/>
      <c r="N106" s="457" t="s">
        <v>2863</v>
      </c>
      <c r="O106" s="1307" t="s">
        <v>4011</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4012</v>
      </c>
      <c r="I109" s="1341"/>
      <c r="J109" s="1341"/>
      <c r="K109" s="1341"/>
      <c r="L109" s="1341"/>
      <c r="M109" s="1341"/>
      <c r="N109" s="1342"/>
      <c r="O109" s="826" t="s">
        <v>2869</v>
      </c>
      <c r="P109" s="826"/>
      <c r="Q109" s="1292" t="s">
        <v>4013</v>
      </c>
      <c r="R109" s="1341"/>
      <c r="S109" s="1342"/>
    </row>
    <row r="110" spans="2:19" s="449" customFormat="1" ht="13.15" customHeight="1">
      <c r="D110" s="498"/>
      <c r="E110" s="455" t="s">
        <v>1527</v>
      </c>
      <c r="F110" s="463"/>
      <c r="H110" s="1292" t="s">
        <v>4014</v>
      </c>
      <c r="I110" s="1341"/>
      <c r="J110" s="1341"/>
      <c r="K110" s="1341"/>
      <c r="L110" s="1341"/>
      <c r="M110" s="1341"/>
      <c r="N110" s="1342"/>
      <c r="O110" s="826" t="s">
        <v>2601</v>
      </c>
      <c r="Q110" s="1292" t="s">
        <v>2721</v>
      </c>
      <c r="R110" s="1341"/>
      <c r="S110" s="1342"/>
    </row>
    <row r="111" spans="2:19" s="449" customFormat="1" ht="13.15" customHeight="1">
      <c r="D111" s="498"/>
      <c r="E111" s="455" t="s">
        <v>876</v>
      </c>
      <c r="H111" s="1292" t="s">
        <v>1485</v>
      </c>
      <c r="I111" s="1341"/>
      <c r="J111" s="1342"/>
      <c r="O111" s="826" t="s">
        <v>2658</v>
      </c>
      <c r="Q111" s="1300">
        <v>3362725618</v>
      </c>
      <c r="R111" s="1305"/>
      <c r="S111" s="1301"/>
    </row>
    <row r="112" spans="2:19" s="449" customFormat="1" ht="13.15" customHeight="1">
      <c r="D112" s="498"/>
      <c r="E112" s="455" t="s">
        <v>2654</v>
      </c>
      <c r="H112" s="1306" t="s">
        <v>1917</v>
      </c>
      <c r="I112" s="483" t="s">
        <v>3137</v>
      </c>
      <c r="J112" s="1303">
        <v>274057099</v>
      </c>
      <c r="K112" s="1342"/>
      <c r="O112" s="826" t="s">
        <v>2858</v>
      </c>
      <c r="Q112" s="1300"/>
      <c r="R112" s="1305"/>
      <c r="S112" s="1301"/>
    </row>
    <row r="113" spans="1:19" ht="13.15" customHeight="1">
      <c r="E113" s="455" t="s">
        <v>2864</v>
      </c>
      <c r="F113" s="449"/>
      <c r="G113" s="449"/>
      <c r="H113" s="1300">
        <v>3362725618</v>
      </c>
      <c r="I113" s="1301"/>
      <c r="J113" s="1371"/>
      <c r="K113" s="839" t="s">
        <v>2657</v>
      </c>
      <c r="L113" s="1329">
        <v>3362727655</v>
      </c>
      <c r="M113" s="1342"/>
      <c r="N113" s="457" t="s">
        <v>2863</v>
      </c>
      <c r="O113" s="1307" t="s">
        <v>4015</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4016</v>
      </c>
      <c r="I115" s="1341"/>
      <c r="J115" s="1341"/>
      <c r="K115" s="1341"/>
      <c r="L115" s="1341"/>
      <c r="M115" s="1341"/>
      <c r="N115" s="1342"/>
      <c r="O115" s="826" t="s">
        <v>2869</v>
      </c>
      <c r="P115" s="826"/>
      <c r="Q115" s="1292" t="s">
        <v>4017</v>
      </c>
      <c r="R115" s="1341"/>
      <c r="S115" s="1342"/>
    </row>
    <row r="116" spans="1:19" s="449" customFormat="1" ht="13.15" customHeight="1">
      <c r="D116" s="498"/>
      <c r="E116" s="455" t="s">
        <v>1527</v>
      </c>
      <c r="F116" s="463"/>
      <c r="H116" s="1292" t="s">
        <v>4018</v>
      </c>
      <c r="I116" s="1341"/>
      <c r="J116" s="1341"/>
      <c r="K116" s="1341"/>
      <c r="L116" s="1341"/>
      <c r="M116" s="1341"/>
      <c r="N116" s="1342"/>
      <c r="O116" s="826" t="s">
        <v>2601</v>
      </c>
      <c r="Q116" s="1292" t="s">
        <v>4019</v>
      </c>
      <c r="R116" s="1341"/>
      <c r="S116" s="1342"/>
    </row>
    <row r="117" spans="1:19" s="449" customFormat="1" ht="13.15" customHeight="1">
      <c r="D117" s="498"/>
      <c r="E117" s="455" t="s">
        <v>876</v>
      </c>
      <c r="H117" s="1292" t="s">
        <v>1743</v>
      </c>
      <c r="I117" s="1341"/>
      <c r="J117" s="1342"/>
      <c r="O117" s="826" t="s">
        <v>2658</v>
      </c>
      <c r="Q117" s="1300">
        <v>4042334466</v>
      </c>
      <c r="R117" s="1305"/>
      <c r="S117" s="1301"/>
    </row>
    <row r="118" spans="1:19" s="449" customFormat="1" ht="13.15" customHeight="1">
      <c r="D118" s="503"/>
      <c r="E118" s="455" t="s">
        <v>2654</v>
      </c>
      <c r="H118" s="1306" t="s">
        <v>1337</v>
      </c>
      <c r="I118" s="483" t="s">
        <v>3137</v>
      </c>
      <c r="J118" s="1303">
        <v>303052766</v>
      </c>
      <c r="K118" s="1342"/>
      <c r="O118" s="826" t="s">
        <v>2858</v>
      </c>
      <c r="Q118" s="1300"/>
      <c r="R118" s="1305"/>
      <c r="S118" s="1301"/>
    </row>
    <row r="119" spans="1:19" s="449" customFormat="1" ht="13.15" customHeight="1">
      <c r="D119" s="503"/>
      <c r="E119" s="455" t="s">
        <v>2864</v>
      </c>
      <c r="H119" s="1300">
        <v>4042334466</v>
      </c>
      <c r="I119" s="1301"/>
      <c r="J119" s="1371"/>
      <c r="K119" s="839" t="s">
        <v>2657</v>
      </c>
      <c r="L119" s="1329">
        <v>4042337396</v>
      </c>
      <c r="M119" s="1342"/>
      <c r="N119" s="457" t="s">
        <v>2863</v>
      </c>
      <c r="O119" s="1307" t="s">
        <v>4020</v>
      </c>
      <c r="P119" s="1308"/>
      <c r="Q119" s="1308"/>
      <c r="R119" s="1308"/>
      <c r="S119" s="1309"/>
    </row>
    <row r="120" spans="1:19" ht="13.15" customHeight="1"/>
    <row r="121" spans="1:19" s="449" customFormat="1" ht="13.15" customHeight="1">
      <c r="A121" s="452" t="s">
        <v>2647</v>
      </c>
      <c r="B121" s="452" t="s">
        <v>3642</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3307</v>
      </c>
      <c r="F123" s="924" t="s">
        <v>3300</v>
      </c>
      <c r="G123" s="917" t="s">
        <v>3301</v>
      </c>
      <c r="H123" s="928"/>
      <c r="I123" s="929"/>
      <c r="J123" s="917" t="s">
        <v>3302</v>
      </c>
      <c r="K123" s="935"/>
      <c r="L123" s="917" t="s">
        <v>3303</v>
      </c>
      <c r="M123" s="940"/>
      <c r="N123" s="917" t="s">
        <v>3304</v>
      </c>
      <c r="O123" s="929"/>
      <c r="P123" s="917" t="s">
        <v>3305</v>
      </c>
      <c r="Q123" s="929"/>
      <c r="R123" s="917" t="s">
        <v>3306</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3299</v>
      </c>
      <c r="B128" s="835"/>
      <c r="C128" s="835"/>
      <c r="D128" s="836"/>
      <c r="E128" s="1385" t="s">
        <v>3979</v>
      </c>
      <c r="F128" s="1385" t="s">
        <v>3979</v>
      </c>
      <c r="G128" s="1386" t="s">
        <v>3979</v>
      </c>
      <c r="H128" s="1387"/>
      <c r="I128" s="1388"/>
      <c r="J128" s="1386" t="s">
        <v>3979</v>
      </c>
      <c r="K128" s="1388"/>
      <c r="L128" s="1386" t="s">
        <v>3979</v>
      </c>
      <c r="M128" s="1388"/>
      <c r="N128" s="1386" t="s">
        <v>3979</v>
      </c>
      <c r="O128" s="1388"/>
      <c r="P128" s="1389" t="s">
        <v>3849</v>
      </c>
      <c r="Q128" s="1390"/>
      <c r="R128" s="1391">
        <v>8.0000000000000007E-5</v>
      </c>
      <c r="S128" s="1392"/>
    </row>
    <row r="129" spans="1:19" s="449" customFormat="1" ht="13.9" customHeight="1">
      <c r="A129" s="832" t="s">
        <v>3289</v>
      </c>
      <c r="B129" s="833"/>
      <c r="C129" s="833"/>
      <c r="D129" s="837"/>
      <c r="E129" s="1393" t="s">
        <v>3979</v>
      </c>
      <c r="F129" s="1393" t="s">
        <v>3979</v>
      </c>
      <c r="G129" s="1394" t="s">
        <v>3979</v>
      </c>
      <c r="H129" s="1395"/>
      <c r="I129" s="1396"/>
      <c r="J129" s="1394" t="s">
        <v>3981</v>
      </c>
      <c r="K129" s="1396"/>
      <c r="L129" s="1394" t="s">
        <v>3979</v>
      </c>
      <c r="M129" s="1396"/>
      <c r="N129" s="1394" t="s">
        <v>3979</v>
      </c>
      <c r="O129" s="1396"/>
      <c r="P129" s="1397" t="s">
        <v>4021</v>
      </c>
      <c r="Q129" s="1398"/>
      <c r="R129" s="1399">
        <v>2.0000000000000002E-5</v>
      </c>
      <c r="S129" s="1400"/>
    </row>
    <row r="130" spans="1:19" s="449" customFormat="1" ht="13.9" customHeight="1">
      <c r="A130" s="832" t="s">
        <v>3290</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3291</v>
      </c>
      <c r="B131" s="833"/>
      <c r="C131" s="833"/>
      <c r="D131" s="837"/>
      <c r="E131" s="1393" t="s">
        <v>3979</v>
      </c>
      <c r="F131" s="1393" t="s">
        <v>3979</v>
      </c>
      <c r="G131" s="1394" t="s">
        <v>3979</v>
      </c>
      <c r="H131" s="1395"/>
      <c r="I131" s="1396"/>
      <c r="J131" s="1394" t="s">
        <v>3979</v>
      </c>
      <c r="K131" s="1396"/>
      <c r="L131" s="1394" t="s">
        <v>3979</v>
      </c>
      <c r="M131" s="1396"/>
      <c r="N131" s="1394" t="s">
        <v>3979</v>
      </c>
      <c r="O131" s="1396"/>
      <c r="P131" s="1397" t="s">
        <v>3638</v>
      </c>
      <c r="Q131" s="1398"/>
      <c r="R131" s="1399">
        <v>0.99990000000000001</v>
      </c>
      <c r="S131" s="1400"/>
    </row>
    <row r="132" spans="1:19" s="449" customFormat="1" ht="13.9" customHeight="1">
      <c r="A132" s="832" t="s">
        <v>3292</v>
      </c>
      <c r="B132" s="833"/>
      <c r="C132" s="833"/>
      <c r="D132" s="837"/>
      <c r="E132" s="1393" t="s">
        <v>3979</v>
      </c>
      <c r="F132" s="1393" t="s">
        <v>3979</v>
      </c>
      <c r="G132" s="1394" t="s">
        <v>3979</v>
      </c>
      <c r="H132" s="1395"/>
      <c r="I132" s="1396"/>
      <c r="J132" s="1394" t="s">
        <v>3979</v>
      </c>
      <c r="K132" s="1396"/>
      <c r="L132" s="1394" t="s">
        <v>3979</v>
      </c>
      <c r="M132" s="1396"/>
      <c r="N132" s="1394" t="s">
        <v>3979</v>
      </c>
      <c r="O132" s="1396"/>
      <c r="P132" s="1397" t="s">
        <v>3638</v>
      </c>
      <c r="Q132" s="1398"/>
      <c r="R132" s="1399"/>
      <c r="S132" s="1400"/>
    </row>
    <row r="133" spans="1:19" s="449" customFormat="1" ht="13.9" customHeight="1">
      <c r="A133" s="832" t="s">
        <v>3293</v>
      </c>
      <c r="B133" s="833"/>
      <c r="C133" s="833"/>
      <c r="D133" s="837"/>
      <c r="E133" s="1393" t="s">
        <v>3979</v>
      </c>
      <c r="F133" s="1393" t="s">
        <v>3979</v>
      </c>
      <c r="G133" s="1394" t="s">
        <v>3979</v>
      </c>
      <c r="H133" s="1395"/>
      <c r="I133" s="1396"/>
      <c r="J133" s="1394" t="s">
        <v>3979</v>
      </c>
      <c r="K133" s="1396"/>
      <c r="L133" s="1394" t="s">
        <v>3979</v>
      </c>
      <c r="M133" s="1396"/>
      <c r="N133" s="1394" t="s">
        <v>3979</v>
      </c>
      <c r="O133" s="1396"/>
      <c r="P133" s="1397" t="s">
        <v>3849</v>
      </c>
      <c r="Q133" s="1398"/>
      <c r="R133" s="1399"/>
      <c r="S133" s="1400"/>
    </row>
    <row r="134" spans="1:19" s="449" customFormat="1" ht="13.9" customHeight="1">
      <c r="A134" s="832" t="s">
        <v>918</v>
      </c>
      <c r="B134" s="833"/>
      <c r="C134" s="833"/>
      <c r="D134" s="837"/>
      <c r="E134" s="1393" t="s">
        <v>3979</v>
      </c>
      <c r="F134" s="1393" t="s">
        <v>3979</v>
      </c>
      <c r="G134" s="1394" t="s">
        <v>3979</v>
      </c>
      <c r="H134" s="1395"/>
      <c r="I134" s="1396"/>
      <c r="J134" s="1394" t="s">
        <v>3979</v>
      </c>
      <c r="K134" s="1396"/>
      <c r="L134" s="1394" t="s">
        <v>3979</v>
      </c>
      <c r="M134" s="1396"/>
      <c r="N134" s="1394" t="s">
        <v>3979</v>
      </c>
      <c r="O134" s="1396"/>
      <c r="P134" s="1397" t="s">
        <v>3849</v>
      </c>
      <c r="Q134" s="1398"/>
      <c r="R134" s="1399"/>
      <c r="S134" s="1400"/>
    </row>
    <row r="135" spans="1:19" s="449" customFormat="1" ht="13.9" customHeight="1">
      <c r="A135" s="832" t="s">
        <v>3294</v>
      </c>
      <c r="B135" s="833"/>
      <c r="C135" s="833"/>
      <c r="D135" s="837"/>
      <c r="E135" s="1393" t="s">
        <v>3979</v>
      </c>
      <c r="F135" s="1393" t="s">
        <v>3979</v>
      </c>
      <c r="G135" s="1394" t="s">
        <v>3979</v>
      </c>
      <c r="H135" s="1395"/>
      <c r="I135" s="1396"/>
      <c r="J135" s="1394" t="s">
        <v>3981</v>
      </c>
      <c r="K135" s="1396"/>
      <c r="L135" s="1394" t="s">
        <v>3979</v>
      </c>
      <c r="M135" s="1396"/>
      <c r="N135" s="1394" t="s">
        <v>3979</v>
      </c>
      <c r="O135" s="1396"/>
      <c r="P135" s="1397" t="s">
        <v>4021</v>
      </c>
      <c r="Q135" s="1398"/>
      <c r="R135" s="1399"/>
      <c r="S135" s="1400"/>
    </row>
    <row r="136" spans="1:19" s="449" customFormat="1" ht="13.9" customHeight="1">
      <c r="A136" s="832" t="s">
        <v>3295</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3296</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3297</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3979</v>
      </c>
      <c r="F139" s="1393" t="s">
        <v>3979</v>
      </c>
      <c r="G139" s="1394" t="s">
        <v>3979</v>
      </c>
      <c r="H139" s="1395"/>
      <c r="I139" s="1396"/>
      <c r="J139" s="1394" t="s">
        <v>3979</v>
      </c>
      <c r="K139" s="1396"/>
      <c r="L139" s="1394" t="s">
        <v>3979</v>
      </c>
      <c r="M139" s="1396"/>
      <c r="N139" s="1394" t="s">
        <v>3979</v>
      </c>
      <c r="O139" s="1396"/>
      <c r="P139" s="1397" t="s">
        <v>4021</v>
      </c>
      <c r="Q139" s="1398"/>
      <c r="R139" s="1399"/>
      <c r="S139" s="1400"/>
    </row>
    <row r="140" spans="1:19" s="449" customFormat="1" ht="13.9" customHeight="1">
      <c r="A140" s="841" t="s">
        <v>3298</v>
      </c>
      <c r="B140" s="842"/>
      <c r="C140" s="842"/>
      <c r="D140" s="504"/>
      <c r="E140" s="1401" t="s">
        <v>3979</v>
      </c>
      <c r="F140" s="1401" t="s">
        <v>3979</v>
      </c>
      <c r="G140" s="1402" t="s">
        <v>3979</v>
      </c>
      <c r="H140" s="1403"/>
      <c r="I140" s="1404"/>
      <c r="J140" s="1402" t="s">
        <v>3981</v>
      </c>
      <c r="K140" s="1404"/>
      <c r="L140" s="1402" t="s">
        <v>3979</v>
      </c>
      <c r="M140" s="1404"/>
      <c r="N140" s="1402" t="s">
        <v>3979</v>
      </c>
      <c r="O140" s="1404"/>
      <c r="P140" s="1405" t="s">
        <v>4021</v>
      </c>
      <c r="Q140" s="1406"/>
      <c r="R140" s="1407"/>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2649</v>
      </c>
      <c r="B143" s="496"/>
      <c r="C143" s="481" t="s">
        <v>815</v>
      </c>
      <c r="N143" s="481" t="s">
        <v>765</v>
      </c>
      <c r="O143" s="481" t="s">
        <v>85</v>
      </c>
    </row>
    <row r="144" spans="1:19" ht="3.6" customHeight="1">
      <c r="B144" s="496"/>
    </row>
    <row r="145" spans="1:24" ht="73.5" customHeight="1">
      <c r="A145" s="1360" t="s">
        <v>4100</v>
      </c>
      <c r="B145" s="1361"/>
      <c r="C145" s="1361"/>
      <c r="D145" s="1361"/>
      <c r="E145" s="1361"/>
      <c r="F145" s="1361"/>
      <c r="G145" s="1361"/>
      <c r="H145" s="1361"/>
      <c r="I145" s="1361"/>
      <c r="J145" s="1361"/>
      <c r="K145" s="1361"/>
      <c r="L145" s="1361"/>
      <c r="M145" s="1362"/>
      <c r="N145" s="1363"/>
      <c r="O145" s="1364"/>
      <c r="P145" s="1364"/>
      <c r="Q145" s="1364"/>
      <c r="R145" s="1364"/>
      <c r="S145" s="1365"/>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16" zoomScaleNormal="100" zoomScaleSheetLayoutView="90" workbookViewId="0">
      <selection activeCell="A16"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2012-017 Cherokee Mill Lofts, Calhoun, Gordon County</v>
      </c>
      <c r="B1" s="946"/>
      <c r="C1" s="946"/>
      <c r="D1" s="946"/>
      <c r="E1" s="946"/>
      <c r="F1" s="946"/>
      <c r="G1" s="946"/>
      <c r="H1" s="946"/>
      <c r="I1" s="946"/>
      <c r="J1" s="946"/>
      <c r="K1" s="946"/>
      <c r="L1" s="946"/>
      <c r="M1" s="946"/>
      <c r="N1" s="946"/>
      <c r="O1" s="946"/>
      <c r="P1" s="946"/>
      <c r="Q1" s="947"/>
      <c r="S1" s="953" t="str">
        <f>$A$1</f>
        <v>PART THREE - SOURCES OF FUNDS  -  2012-017 Cherokee Mill Lofts, Calhoun, Gordon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3497</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3864</v>
      </c>
      <c r="T4" s="954"/>
    </row>
    <row r="5" spans="1:20" s="397" customFormat="1" ht="16.899999999999999" customHeight="1">
      <c r="A5" s="846"/>
      <c r="B5" s="1306" t="s">
        <v>3981</v>
      </c>
      <c r="C5" s="826" t="s">
        <v>3391</v>
      </c>
      <c r="D5" s="449"/>
      <c r="E5" s="1306" t="s">
        <v>3979</v>
      </c>
      <c r="F5" s="829" t="s">
        <v>2494</v>
      </c>
      <c r="G5" s="449"/>
      <c r="J5" s="1410"/>
      <c r="K5" s="1411"/>
      <c r="M5" s="1306" t="s">
        <v>3979</v>
      </c>
      <c r="N5" s="826" t="s">
        <v>786</v>
      </c>
      <c r="P5" s="1306" t="s">
        <v>3979</v>
      </c>
      <c r="Q5" s="956" t="s">
        <v>3654</v>
      </c>
      <c r="S5" s="1412"/>
      <c r="T5" s="1413"/>
    </row>
    <row r="6" spans="1:20" s="397" customFormat="1" ht="16.899999999999999" customHeight="1">
      <c r="A6" s="846"/>
      <c r="B6" s="1306" t="s">
        <v>3979</v>
      </c>
      <c r="C6" s="826" t="s">
        <v>2659</v>
      </c>
      <c r="D6" s="449"/>
      <c r="E6" s="1306" t="s">
        <v>3979</v>
      </c>
      <c r="F6" s="829" t="s">
        <v>3098</v>
      </c>
      <c r="H6" s="1306" t="s">
        <v>3979</v>
      </c>
      <c r="I6" s="833" t="s">
        <v>787</v>
      </c>
      <c r="J6" s="1306" t="s">
        <v>3979</v>
      </c>
      <c r="K6" s="833" t="s">
        <v>2140</v>
      </c>
      <c r="M6" s="1306" t="s">
        <v>3979</v>
      </c>
      <c r="N6" s="829" t="s">
        <v>785</v>
      </c>
      <c r="Q6" s="956"/>
      <c r="S6" s="1414"/>
      <c r="T6" s="1415"/>
    </row>
    <row r="7" spans="1:20" s="397" customFormat="1" ht="16.899999999999999" customHeight="1">
      <c r="A7" s="449"/>
      <c r="B7" s="1306" t="s">
        <v>3979</v>
      </c>
      <c r="C7" s="826" t="s">
        <v>2660</v>
      </c>
      <c r="E7" s="1306" t="s">
        <v>3979</v>
      </c>
      <c r="F7" s="829" t="s">
        <v>3097</v>
      </c>
      <c r="G7" s="449"/>
      <c r="H7" s="1306" t="s">
        <v>3979</v>
      </c>
      <c r="I7" s="955" t="s">
        <v>3652</v>
      </c>
      <c r="J7" s="1306" t="s">
        <v>3979</v>
      </c>
      <c r="K7" s="956" t="s">
        <v>3651</v>
      </c>
      <c r="L7" s="957"/>
      <c r="M7" s="1306" t="s">
        <v>3979</v>
      </c>
      <c r="N7" s="455" t="s">
        <v>3653</v>
      </c>
      <c r="Q7" s="958"/>
      <c r="S7" s="1414"/>
      <c r="T7" s="1415"/>
    </row>
    <row r="8" spans="1:20" s="397" customFormat="1" ht="16.899999999999999" customHeight="1">
      <c r="A8" s="846"/>
      <c r="B8" s="1306" t="s">
        <v>3979</v>
      </c>
      <c r="C8" s="833" t="s">
        <v>3639</v>
      </c>
      <c r="D8" s="449"/>
      <c r="E8" s="1306" t="s">
        <v>3979</v>
      </c>
      <c r="F8" s="477" t="s">
        <v>3640</v>
      </c>
      <c r="I8" s="955"/>
      <c r="K8" s="956"/>
      <c r="L8" s="957"/>
      <c r="M8" s="1306"/>
      <c r="N8" s="1292" t="s">
        <v>3024</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3269</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3864</v>
      </c>
      <c r="T13" s="954"/>
    </row>
    <row r="14" spans="1:20" s="397" customFormat="1" ht="16.899999999999999" customHeight="1">
      <c r="A14" s="449"/>
      <c r="B14" s="961" t="s">
        <v>2195</v>
      </c>
      <c r="C14" s="962"/>
      <c r="D14" s="962"/>
      <c r="E14" s="835"/>
      <c r="F14" s="835"/>
      <c r="G14" s="835"/>
      <c r="H14" s="1292" t="s">
        <v>4036</v>
      </c>
      <c r="I14" s="1293"/>
      <c r="J14" s="1293"/>
      <c r="K14" s="1294"/>
      <c r="L14" s="1418">
        <v>3250000</v>
      </c>
      <c r="M14" s="1419"/>
      <c r="N14" s="1420">
        <v>5.7500000000000002E-2</v>
      </c>
      <c r="O14" s="1421"/>
      <c r="P14" s="1422">
        <v>24</v>
      </c>
      <c r="Q14" s="1423"/>
      <c r="S14" s="1412"/>
      <c r="T14" s="1413"/>
    </row>
    <row r="15" spans="1:20" s="397" customFormat="1" ht="16.899999999999999" customHeight="1">
      <c r="A15" s="449"/>
      <c r="B15" s="959" t="s">
        <v>2196</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3117</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t="s">
        <v>4037</v>
      </c>
      <c r="I20" s="1293"/>
      <c r="J20" s="1293"/>
      <c r="K20" s="1294"/>
      <c r="L20" s="1418">
        <v>3956669</v>
      </c>
      <c r="M20" s="1419"/>
      <c r="N20" s="449"/>
      <c r="O20" s="449"/>
      <c r="P20" s="449"/>
      <c r="Q20" s="449"/>
      <c r="S20" s="1416"/>
      <c r="T20" s="1417"/>
    </row>
    <row r="21" spans="1:20" s="397" customFormat="1" ht="16.899999999999999" customHeight="1">
      <c r="A21" s="449"/>
      <c r="B21" s="959" t="s">
        <v>1289</v>
      </c>
      <c r="C21" s="960"/>
      <c r="D21" s="960"/>
      <c r="E21" s="833"/>
      <c r="H21" s="1292" t="s">
        <v>4037</v>
      </c>
      <c r="I21" s="1293"/>
      <c r="J21" s="1293"/>
      <c r="K21" s="1294"/>
      <c r="L21" s="1418">
        <v>1163726</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8370395</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8370395</v>
      </c>
      <c r="M26" s="1428"/>
      <c r="N26" s="980"/>
      <c r="O26" s="981"/>
      <c r="P26" s="981"/>
      <c r="Q26" s="981"/>
      <c r="S26" s="1414"/>
      <c r="T26" s="1415"/>
    </row>
    <row r="27" spans="1:20" s="397" customFormat="1" ht="16.899999999999999" customHeight="1">
      <c r="A27" s="449"/>
      <c r="B27" s="455" t="s">
        <v>3049</v>
      </c>
      <c r="C27" s="449"/>
      <c r="D27" s="449"/>
      <c r="E27" s="449"/>
      <c r="F27" s="449"/>
      <c r="G27" s="449"/>
      <c r="H27" s="449"/>
      <c r="I27" s="449"/>
      <c r="L27" s="984">
        <f>L25-L26</f>
        <v>0</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3266</v>
      </c>
      <c r="S30" s="507"/>
    </row>
    <row r="31" spans="1:20" s="397" customFormat="1" ht="13.15" customHeight="1">
      <c r="A31" s="449"/>
      <c r="B31" s="838" t="s">
        <v>2743</v>
      </c>
      <c r="C31" s="842"/>
      <c r="D31" s="842"/>
      <c r="E31" s="960" t="s">
        <v>1864</v>
      </c>
      <c r="F31" s="960"/>
      <c r="G31" s="960"/>
      <c r="H31" s="888" t="s">
        <v>676</v>
      </c>
      <c r="I31" s="888"/>
      <c r="J31" s="828" t="s">
        <v>2666</v>
      </c>
      <c r="K31" s="828" t="s">
        <v>3116</v>
      </c>
      <c r="L31" s="828" t="s">
        <v>3116</v>
      </c>
      <c r="M31" s="1429"/>
      <c r="N31" s="1429"/>
      <c r="O31" s="888" t="s">
        <v>80</v>
      </c>
      <c r="P31" s="888"/>
      <c r="Q31" s="976"/>
      <c r="S31" s="954" t="s">
        <v>3864</v>
      </c>
      <c r="T31" s="954"/>
    </row>
    <row r="32" spans="1:20" s="397" customFormat="1" ht="13.15" customHeight="1">
      <c r="A32" s="449"/>
      <c r="B32" s="961" t="s">
        <v>3662</v>
      </c>
      <c r="C32" s="962"/>
      <c r="D32" s="962"/>
      <c r="E32" s="1430"/>
      <c r="F32" s="1431"/>
      <c r="G32" s="1432"/>
      <c r="H32" s="1433"/>
      <c r="I32" s="1434"/>
      <c r="J32" s="1435"/>
      <c r="K32" s="1306"/>
      <c r="L32" s="1306"/>
      <c r="M32" s="1436"/>
      <c r="N32" s="1437"/>
      <c r="O32" s="1286"/>
      <c r="P32" s="1287"/>
      <c r="Q32" s="1438"/>
      <c r="S32" s="1412"/>
      <c r="T32" s="1413"/>
    </row>
    <row r="33" spans="1:20" s="397" customFormat="1" ht="13.15" customHeight="1">
      <c r="A33" s="449"/>
      <c r="B33" s="959" t="s">
        <v>3663</v>
      </c>
      <c r="C33" s="960"/>
      <c r="D33" s="960"/>
      <c r="E33" s="1297"/>
      <c r="F33" s="1439"/>
      <c r="G33" s="1440"/>
      <c r="H33" s="1441"/>
      <c r="I33" s="1434"/>
      <c r="J33" s="1435"/>
      <c r="K33" s="1306"/>
      <c r="L33" s="1306"/>
      <c r="M33" s="1436" t="str">
        <f t="shared" ref="M33:M37" si="0">IF(OR(H33&lt;=0,H33=""),"",IF(O33="Amortizing",-PMT(J33/12,L33*12,H33,0,0)*12,""))</f>
        <v/>
      </c>
      <c r="N33" s="1437"/>
      <c r="O33" s="1286"/>
      <c r="P33" s="1287"/>
      <c r="Q33" s="1438"/>
      <c r="S33" s="1414"/>
      <c r="T33" s="1415"/>
    </row>
    <row r="34" spans="1:20" s="397" customFormat="1" ht="13.15" customHeight="1">
      <c r="A34" s="449"/>
      <c r="B34" s="959" t="s">
        <v>3664</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0.32961527751809344</v>
      </c>
      <c r="E37" s="1292" t="s">
        <v>3984</v>
      </c>
      <c r="F37" s="1442"/>
      <c r="G37" s="1434"/>
      <c r="H37" s="1441">
        <v>410757</v>
      </c>
      <c r="I37" s="1434"/>
      <c r="J37" s="1435">
        <v>0</v>
      </c>
      <c r="K37" s="1306">
        <v>15</v>
      </c>
      <c r="L37" s="1306"/>
      <c r="M37" s="1436" t="str">
        <f t="shared" si="0"/>
        <v/>
      </c>
      <c r="N37" s="1437"/>
      <c r="O37" s="1286" t="s">
        <v>1687</v>
      </c>
      <c r="P37" s="1287"/>
      <c r="Q37" s="1438"/>
      <c r="S37" s="1414"/>
      <c r="T37" s="1415"/>
    </row>
    <row r="38" spans="1:20" s="397" customFormat="1" ht="13.15" customHeight="1">
      <c r="A38" s="449"/>
      <c r="B38" s="961" t="s">
        <v>3117</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t="s">
        <v>4037</v>
      </c>
      <c r="F40" s="1293"/>
      <c r="G40" s="1294"/>
      <c r="H40" s="1418">
        <v>7196586</v>
      </c>
      <c r="I40" s="1419"/>
      <c r="J40" s="973">
        <f>'Part IV-Uses of Funds'!$J$165*10*'Part IV-Uses of Funds'!$N$158</f>
        <v>7196579.4983472601</v>
      </c>
      <c r="K40" s="974"/>
      <c r="L40" s="969">
        <f>H40-J40</f>
        <v>6.5016527399420738</v>
      </c>
      <c r="M40" s="969"/>
      <c r="O40" s="626" t="s">
        <v>3589</v>
      </c>
      <c r="P40" s="545"/>
      <c r="Q40" s="544"/>
      <c r="S40" s="1414"/>
      <c r="T40" s="1415"/>
    </row>
    <row r="41" spans="1:20" s="397" customFormat="1" ht="13.15" customHeight="1">
      <c r="A41" s="449"/>
      <c r="B41" s="959" t="s">
        <v>1289</v>
      </c>
      <c r="C41" s="960"/>
      <c r="D41" s="968"/>
      <c r="E41" s="1292" t="s">
        <v>4037</v>
      </c>
      <c r="F41" s="1293"/>
      <c r="G41" s="1294"/>
      <c r="H41" s="1418">
        <v>2116643</v>
      </c>
      <c r="I41" s="1419"/>
      <c r="J41" s="973">
        <f>'Part IV-Uses of Funds'!$J$165*10*'Part IV-Uses of Funds'!$Q$158</f>
        <v>2116640.5014558299</v>
      </c>
      <c r="K41" s="974"/>
      <c r="L41" s="969">
        <f>H41-J41</f>
        <v>2.4985441700555384</v>
      </c>
      <c r="M41" s="969"/>
      <c r="O41" s="627">
        <f>H40/H50</f>
        <v>0.74008600999631224</v>
      </c>
      <c r="P41" s="545"/>
      <c r="Q41" s="544"/>
      <c r="S41" s="1414"/>
      <c r="T41" s="1415"/>
    </row>
    <row r="42" spans="1:20" s="397" customFormat="1" ht="13.15" customHeight="1">
      <c r="A42" s="449"/>
      <c r="B42" s="959" t="s">
        <v>1984</v>
      </c>
      <c r="C42" s="960"/>
      <c r="D42" s="968"/>
      <c r="E42" s="1292"/>
      <c r="F42" s="1293"/>
      <c r="G42" s="1294"/>
      <c r="H42" s="1441"/>
      <c r="I42" s="1445"/>
      <c r="M42" s="545"/>
      <c r="O42" s="627">
        <f>H41/H50</f>
        <v>0.217672361930591</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0.95775837192690327</v>
      </c>
      <c r="P43" s="545"/>
      <c r="Q43" s="544"/>
      <c r="S43" s="1414"/>
      <c r="T43" s="1415"/>
    </row>
    <row r="44" spans="1:20" s="397" customFormat="1" ht="13.15" customHeight="1">
      <c r="A44" s="449"/>
      <c r="B44" s="832" t="s">
        <v>2741</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3118</v>
      </c>
      <c r="C49" s="449"/>
      <c r="D49" s="449"/>
      <c r="E49" s="449"/>
      <c r="F49" s="449"/>
      <c r="G49" s="449"/>
      <c r="H49" s="989">
        <f>SUM(H32:I48)</f>
        <v>9723986</v>
      </c>
      <c r="I49" s="990"/>
      <c r="J49" s="472"/>
      <c r="K49" s="449"/>
      <c r="L49" s="546"/>
      <c r="M49" s="545"/>
      <c r="N49" s="545"/>
      <c r="O49" s="545"/>
      <c r="P49" s="545"/>
      <c r="Q49" s="544"/>
      <c r="S49" s="1414"/>
      <c r="T49" s="1415"/>
    </row>
    <row r="50" spans="1:23" s="397" customFormat="1" ht="13.15" customHeight="1" thickBot="1">
      <c r="A50" s="449"/>
      <c r="B50" s="826" t="s">
        <v>3119</v>
      </c>
      <c r="C50" s="449"/>
      <c r="D50" s="449"/>
      <c r="E50" s="449"/>
      <c r="F50" s="449"/>
      <c r="G50" s="449"/>
      <c r="H50" s="987">
        <f>'Part IV-Uses of Funds'!$G$123</f>
        <v>9723986</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67.900000000000006" customHeight="1">
      <c r="A55" s="1360"/>
      <c r="B55" s="1446"/>
      <c r="C55" s="1446"/>
      <c r="D55" s="1446"/>
      <c r="E55" s="1446"/>
      <c r="F55" s="1446"/>
      <c r="G55" s="1446"/>
      <c r="H55" s="1446"/>
      <c r="I55" s="1446"/>
      <c r="J55" s="1447"/>
      <c r="K55" s="1363"/>
      <c r="L55" s="1446"/>
      <c r="M55" s="1446"/>
      <c r="N55" s="1446"/>
      <c r="O55" s="1446"/>
      <c r="P55" s="1446"/>
      <c r="Q55" s="1447"/>
      <c r="S55" s="952" t="s">
        <v>3964</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2012-017 Cherokee Mill Lofts, Calhoun, Gordon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3167</v>
      </c>
      <c r="B5" s="40"/>
      <c r="C5" s="370"/>
      <c r="D5" s="371">
        <f>IF(C5&gt;1500000,1500000,0)</f>
        <v>0</v>
      </c>
      <c r="E5" s="372">
        <f>IF(C5&gt;1500000,C5-1500000,0)</f>
        <v>0</v>
      </c>
    </row>
    <row r="6" spans="1:17">
      <c r="A6" s="40" t="s">
        <v>3467</v>
      </c>
      <c r="B6" s="297" t="s">
        <v>699</v>
      </c>
      <c r="C6" s="373">
        <v>0</v>
      </c>
      <c r="D6" s="161" t="s">
        <v>700</v>
      </c>
      <c r="E6" s="40"/>
    </row>
    <row r="7" spans="1:17">
      <c r="A7" s="40"/>
      <c r="B7" s="297" t="s">
        <v>3483</v>
      </c>
      <c r="C7" s="374"/>
      <c r="D7" s="161" t="s">
        <v>2497</v>
      </c>
      <c r="E7" s="40"/>
    </row>
    <row r="8" spans="1:17" ht="13.15" customHeight="1">
      <c r="A8" s="40" t="s">
        <v>3471</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3484</v>
      </c>
      <c r="B16" s="286" t="s">
        <v>3481</v>
      </c>
      <c r="C16" s="286" t="s">
        <v>3482</v>
      </c>
      <c r="D16" s="1004" t="s">
        <v>3166</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2012-017 Cherokee Mill Lofts, Calhoun, Gordon County</v>
      </c>
      <c r="B58" s="996"/>
      <c r="C58" s="996"/>
      <c r="D58" s="996"/>
      <c r="E58" s="996"/>
      <c r="F58" s="996"/>
      <c r="G58" s="996" t="str">
        <f>CONCATENATE('Part I-Project Information'!$O$4," ",'Part I-Project Information'!$F$22,", ",'Part I-Project Information'!$F$24,", ",'Part I-Project Information'!$J$25," County")</f>
        <v>2012-017 Cherokee Mill Lofts, Calhoun, Gordon County</v>
      </c>
      <c r="H58" s="996"/>
      <c r="I58" s="996"/>
      <c r="J58" s="996"/>
      <c r="K58" s="996"/>
      <c r="L58" s="996"/>
    </row>
    <row r="59" spans="1:12" ht="15">
      <c r="A59" s="993" t="s">
        <v>3475</v>
      </c>
      <c r="B59" s="993"/>
      <c r="C59" s="993"/>
      <c r="D59" s="993"/>
      <c r="E59" s="993"/>
      <c r="F59" s="993"/>
      <c r="G59" s="993" t="s">
        <v>3475</v>
      </c>
      <c r="H59" s="993"/>
      <c r="I59" s="993"/>
      <c r="J59" s="993"/>
      <c r="K59" s="993"/>
      <c r="L59" s="993"/>
    </row>
    <row r="60" spans="1:12" ht="6" customHeight="1">
      <c r="C60" s="270"/>
      <c r="D60" s="270"/>
      <c r="I60" s="270"/>
      <c r="J60" s="270"/>
    </row>
    <row r="61" spans="1:12">
      <c r="A61" s="273" t="s">
        <v>3476</v>
      </c>
      <c r="B61" s="274" t="s">
        <v>3477</v>
      </c>
      <c r="C61" s="274" t="s">
        <v>1861</v>
      </c>
      <c r="D61" s="274" t="s">
        <v>3478</v>
      </c>
      <c r="E61" s="273" t="s">
        <v>3479</v>
      </c>
      <c r="F61" s="307" t="s">
        <v>3484</v>
      </c>
      <c r="G61" s="273" t="s">
        <v>3476</v>
      </c>
      <c r="H61" s="274" t="s">
        <v>3477</v>
      </c>
      <c r="I61" s="274" t="s">
        <v>1861</v>
      </c>
      <c r="J61" s="274" t="s">
        <v>3478</v>
      </c>
      <c r="K61" s="273" t="s">
        <v>3479</v>
      </c>
      <c r="L61" s="307" t="s">
        <v>3484</v>
      </c>
    </row>
    <row r="62" spans="1:12" ht="3.6" customHeight="1">
      <c r="A62" s="276"/>
      <c r="B62" s="160"/>
      <c r="C62" s="160"/>
      <c r="D62" s="160"/>
      <c r="E62" s="160"/>
      <c r="F62" s="108"/>
      <c r="G62" s="276"/>
      <c r="H62" s="160"/>
      <c r="I62" s="160"/>
      <c r="J62" s="160"/>
      <c r="K62" s="160"/>
      <c r="L62" s="108"/>
    </row>
    <row r="63" spans="1:12">
      <c r="A63" s="277" t="s">
        <v>3480</v>
      </c>
      <c r="B63" s="278"/>
      <c r="C63" s="278"/>
      <c r="D63" s="278"/>
      <c r="E63" s="279">
        <f>IF($C$5&gt;1500000,$D$5,$C$5)</f>
        <v>0</v>
      </c>
      <c r="F63" s="108"/>
      <c r="G63" s="277" t="s">
        <v>3480</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2012-017 Cherokee Mill Lofts, Calhoun, Gordon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3167</v>
      </c>
      <c r="D5" s="304"/>
      <c r="E5" s="1005" t="s">
        <v>1451</v>
      </c>
      <c r="F5" s="1006"/>
      <c r="G5" s="217"/>
    </row>
    <row r="6" spans="1:17">
      <c r="E6" s="1006"/>
      <c r="F6" s="1006"/>
      <c r="G6" s="217"/>
    </row>
    <row r="7" spans="1:17">
      <c r="A7" s="31" t="s">
        <v>3467</v>
      </c>
      <c r="C7" s="31" t="s">
        <v>3468</v>
      </c>
      <c r="D7" s="305"/>
      <c r="E7" s="1006"/>
      <c r="F7" s="1006"/>
      <c r="G7" s="217"/>
    </row>
    <row r="8" spans="1:17">
      <c r="C8" s="31" t="s">
        <v>3469</v>
      </c>
      <c r="D8" s="305"/>
      <c r="E8" s="1006"/>
      <c r="F8" s="1006"/>
      <c r="G8" s="217"/>
    </row>
    <row r="9" spans="1:17">
      <c r="C9" s="31" t="s">
        <v>3470</v>
      </c>
      <c r="D9" s="305"/>
      <c r="E9" s="1006"/>
      <c r="F9" s="1006"/>
      <c r="G9" s="217"/>
    </row>
    <row r="10" spans="1:17">
      <c r="C10" s="31" t="s">
        <v>3483</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3472</v>
      </c>
      <c r="D14" s="302"/>
      <c r="E14" s="31" t="s">
        <v>3473</v>
      </c>
      <c r="F14" s="319"/>
    </row>
    <row r="15" spans="1:17">
      <c r="D15" s="290"/>
      <c r="F15" s="319"/>
    </row>
    <row r="16" spans="1:17">
      <c r="A16" s="31" t="s">
        <v>3474</v>
      </c>
      <c r="D16" s="302"/>
      <c r="E16" s="31" t="s">
        <v>3473</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3166</v>
      </c>
      <c r="D26" s="316"/>
      <c r="E26" s="108"/>
      <c r="F26" s="1007" t="s">
        <v>3166</v>
      </c>
      <c r="J26" s="321"/>
    </row>
    <row r="27" spans="1:10">
      <c r="A27" s="322" t="s">
        <v>3484</v>
      </c>
      <c r="B27" s="87" t="s">
        <v>1532</v>
      </c>
      <c r="C27" s="1008"/>
      <c r="D27" s="323" t="s">
        <v>3484</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2012-017 Cherokee Mill Lofts, Calhoun, Gordon County</v>
      </c>
      <c r="B50" s="996"/>
      <c r="C50" s="996"/>
      <c r="D50" s="996"/>
      <c r="E50" s="996"/>
      <c r="F50" s="996"/>
      <c r="G50" s="297"/>
      <c r="H50" s="297"/>
    </row>
    <row r="51" spans="1:10" ht="15">
      <c r="A51" s="993" t="s">
        <v>3475</v>
      </c>
      <c r="B51" s="993"/>
      <c r="C51" s="993"/>
      <c r="D51" s="993"/>
      <c r="E51" s="993"/>
      <c r="F51" s="993"/>
      <c r="G51" s="333"/>
      <c r="H51" s="333"/>
      <c r="I51" s="333"/>
      <c r="J51" s="333"/>
    </row>
    <row r="52" spans="1:10" ht="5.45" customHeight="1">
      <c r="C52" s="270"/>
      <c r="D52" s="270"/>
      <c r="G52" s="275"/>
      <c r="H52" s="269"/>
      <c r="I52" s="275"/>
    </row>
    <row r="53" spans="1:10">
      <c r="A53" s="273" t="s">
        <v>3476</v>
      </c>
      <c r="B53" s="273" t="s">
        <v>3477</v>
      </c>
      <c r="C53" s="273" t="s">
        <v>1861</v>
      </c>
      <c r="D53" s="273" t="s">
        <v>3478</v>
      </c>
      <c r="E53" s="273" t="s">
        <v>3479</v>
      </c>
      <c r="F53" s="307" t="s">
        <v>3484</v>
      </c>
      <c r="G53" s="334"/>
      <c r="H53" s="334"/>
      <c r="I53" s="334"/>
    </row>
    <row r="54" spans="1:10" ht="3.6" customHeight="1">
      <c r="F54" s="108"/>
      <c r="G54" s="275"/>
      <c r="H54" s="269"/>
      <c r="I54" s="275"/>
    </row>
    <row r="55" spans="1:10">
      <c r="A55" s="31" t="s">
        <v>3480</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A128" zoomScaleNormal="100" zoomScaleSheetLayoutView="90" workbookViewId="0">
      <selection activeCell="A128"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2012-017 Cherokee Mill Lofts, Calhoun, Gordon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2012-017 Cherokee Mill Lofts, Calhoun, Gordon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3864</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18">
        <v>10000</v>
      </c>
      <c r="H8" s="1419"/>
      <c r="J8" s="1418"/>
      <c r="K8" s="1419"/>
      <c r="L8" s="843"/>
      <c r="M8" s="1418"/>
      <c r="N8" s="1419"/>
      <c r="P8" s="1418">
        <f>G8</f>
        <v>10000</v>
      </c>
      <c r="Q8" s="1419"/>
      <c r="S8" s="1418"/>
      <c r="T8" s="1419"/>
      <c r="V8" s="1448"/>
      <c r="W8" s="1449"/>
    </row>
    <row r="9" spans="1:23" s="449" customFormat="1" ht="12.6" customHeight="1">
      <c r="B9" s="449" t="s">
        <v>631</v>
      </c>
      <c r="G9" s="1418">
        <v>4300</v>
      </c>
      <c r="H9" s="1419"/>
      <c r="J9" s="1418"/>
      <c r="K9" s="1419"/>
      <c r="L9" s="843"/>
      <c r="M9" s="1418"/>
      <c r="N9" s="1419"/>
      <c r="P9" s="1418">
        <f>G9</f>
        <v>4300</v>
      </c>
      <c r="Q9" s="1419"/>
      <c r="S9" s="1418"/>
      <c r="T9" s="1419"/>
      <c r="V9" s="1450"/>
      <c r="W9" s="1451"/>
    </row>
    <row r="10" spans="1:23" s="449" customFormat="1" ht="12.6" customHeight="1">
      <c r="B10" s="449" t="s">
        <v>674</v>
      </c>
      <c r="G10" s="1418">
        <v>35000</v>
      </c>
      <c r="H10" s="1419"/>
      <c r="J10" s="1418"/>
      <c r="K10" s="1419"/>
      <c r="L10" s="843"/>
      <c r="M10" s="1418"/>
      <c r="N10" s="1419"/>
      <c r="P10" s="1418">
        <f>G10</f>
        <v>35000</v>
      </c>
      <c r="Q10" s="1419"/>
      <c r="S10" s="1418"/>
      <c r="T10" s="1419"/>
      <c r="V10" s="1450"/>
      <c r="W10" s="1451"/>
    </row>
    <row r="11" spans="1:23" s="449" customFormat="1" ht="12.6" customHeight="1">
      <c r="B11" s="449" t="s">
        <v>675</v>
      </c>
      <c r="G11" s="1418"/>
      <c r="H11" s="1419"/>
      <c r="J11" s="1418"/>
      <c r="K11" s="1419"/>
      <c r="L11" s="843"/>
      <c r="M11" s="1418"/>
      <c r="N11" s="1419"/>
      <c r="P11" s="1418"/>
      <c r="Q11" s="1419"/>
      <c r="S11" s="1418"/>
      <c r="T11" s="1419"/>
      <c r="V11" s="1450"/>
      <c r="W11" s="1451"/>
    </row>
    <row r="12" spans="1:23" s="449" customFormat="1" ht="12.6" customHeight="1">
      <c r="B12" s="449" t="s">
        <v>3506</v>
      </c>
      <c r="G12" s="1418">
        <v>10000</v>
      </c>
      <c r="H12" s="1419"/>
      <c r="J12" s="1418"/>
      <c r="K12" s="1419"/>
      <c r="L12" s="843"/>
      <c r="M12" s="1418"/>
      <c r="N12" s="1419"/>
      <c r="P12" s="1418">
        <f>G12</f>
        <v>10000</v>
      </c>
      <c r="Q12" s="1419"/>
      <c r="S12" s="1418"/>
      <c r="T12" s="1419"/>
      <c r="V12" s="1450"/>
      <c r="W12" s="1451"/>
    </row>
    <row r="13" spans="1:23" s="449" customFormat="1" ht="12.6" customHeight="1">
      <c r="B13" s="449" t="s">
        <v>229</v>
      </c>
      <c r="G13" s="1418"/>
      <c r="H13" s="1419"/>
      <c r="J13" s="1418"/>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4023</v>
      </c>
      <c r="D14" s="1298"/>
      <c r="E14" s="1298"/>
      <c r="F14" s="1299"/>
      <c r="G14" s="1418">
        <v>190977</v>
      </c>
      <c r="H14" s="1419"/>
      <c r="J14" s="1418"/>
      <c r="K14" s="1419"/>
      <c r="L14" s="843"/>
      <c r="M14" s="1418"/>
      <c r="N14" s="1419"/>
      <c r="P14" s="1418">
        <f>G14</f>
        <v>190977</v>
      </c>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3397</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3397</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250277</v>
      </c>
      <c r="H17" s="1016"/>
      <c r="J17" s="1015">
        <f>SUM(J8:K16)</f>
        <v>0</v>
      </c>
      <c r="K17" s="1028"/>
      <c r="L17" s="843"/>
      <c r="M17" s="1015">
        <f>SUM(M8:N16)</f>
        <v>0</v>
      </c>
      <c r="N17" s="1016"/>
      <c r="P17" s="1015">
        <f>SUM(P8:Q16)</f>
        <v>250277</v>
      </c>
      <c r="Q17" s="1016"/>
      <c r="S17" s="1015">
        <f>SUM(S8:T16)</f>
        <v>0</v>
      </c>
      <c r="T17" s="1016"/>
      <c r="V17" s="1454"/>
      <c r="W17" s="1455"/>
    </row>
    <row r="18" spans="2:23" s="449" customFormat="1" ht="13.15" customHeight="1">
      <c r="B18" s="452" t="s">
        <v>3092</v>
      </c>
      <c r="J18" s="512"/>
      <c r="K18" s="512"/>
      <c r="M18" s="512"/>
      <c r="N18" s="512"/>
      <c r="O18" s="514" t="str">
        <f>B18</f>
        <v>ACQUISITION</v>
      </c>
      <c r="P18" s="512"/>
      <c r="Q18" s="512"/>
      <c r="S18" s="512"/>
      <c r="T18" s="512"/>
      <c r="V18" s="449" t="str">
        <f>B18</f>
        <v>ACQUISITION</v>
      </c>
    </row>
    <row r="19" spans="2:23" s="449" customFormat="1" ht="12.6" customHeight="1">
      <c r="B19" s="449" t="s">
        <v>3093</v>
      </c>
      <c r="G19" s="1418">
        <v>170000</v>
      </c>
      <c r="H19" s="1419"/>
      <c r="J19" s="515"/>
      <c r="K19" s="512"/>
      <c r="L19" s="515"/>
      <c r="M19" s="515"/>
      <c r="N19" s="512"/>
      <c r="P19" s="515"/>
      <c r="Q19" s="512"/>
      <c r="S19" s="1418">
        <f>G19</f>
        <v>170000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v>580000</v>
      </c>
      <c r="H22" s="1457"/>
      <c r="J22" s="515"/>
      <c r="K22" s="512"/>
      <c r="L22" s="515"/>
      <c r="M22" s="1456">
        <f>G22</f>
        <v>580000</v>
      </c>
      <c r="N22" s="1457"/>
      <c r="P22" s="515"/>
      <c r="Q22" s="512"/>
      <c r="S22" s="1418"/>
      <c r="T22" s="1419"/>
      <c r="V22" s="1450"/>
      <c r="W22" s="1451"/>
    </row>
    <row r="23" spans="2:23" s="449" customFormat="1" ht="12.6" customHeight="1" thickTop="1">
      <c r="F23" s="513" t="s">
        <v>230</v>
      </c>
      <c r="G23" s="1015">
        <f>SUM(G19:H22)</f>
        <v>750000</v>
      </c>
      <c r="H23" s="1016"/>
      <c r="J23" s="515"/>
      <c r="K23" s="512"/>
      <c r="L23" s="515"/>
      <c r="M23" s="1015">
        <f>SUM(M21:N22)</f>
        <v>580000</v>
      </c>
      <c r="N23" s="1016"/>
      <c r="P23" s="515"/>
      <c r="Q23" s="512"/>
      <c r="S23" s="1015">
        <f>SUM(S19:T22)</f>
        <v>170000</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f>175438+43859</f>
        <v>219297</v>
      </c>
      <c r="H25" s="1419"/>
      <c r="J25" s="1452"/>
      <c r="K25" s="1453"/>
      <c r="L25" s="843"/>
      <c r="M25" s="1452"/>
      <c r="N25" s="1453"/>
      <c r="P25" s="1452">
        <v>175438</v>
      </c>
      <c r="Q25" s="1453"/>
      <c r="S25" s="1418">
        <f>G25-P25</f>
        <v>43859</v>
      </c>
      <c r="T25" s="1419"/>
      <c r="V25" s="1448"/>
      <c r="W25" s="1449"/>
    </row>
    <row r="26" spans="2:23" s="449" customFormat="1" ht="12.6" customHeight="1" thickBot="1">
      <c r="B26" s="449" t="s">
        <v>1635</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219297</v>
      </c>
      <c r="H27" s="1016"/>
      <c r="J27" s="1015">
        <f>SUM(J25:K26)</f>
        <v>0</v>
      </c>
      <c r="K27" s="1016"/>
      <c r="L27" s="515"/>
      <c r="M27" s="1015">
        <f>M25</f>
        <v>0</v>
      </c>
      <c r="N27" s="1016"/>
      <c r="P27" s="1015">
        <f>P25</f>
        <v>175438</v>
      </c>
      <c r="Q27" s="1016"/>
      <c r="S27" s="1015">
        <f>SUM(S25:T26)</f>
        <v>43859</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c r="H29" s="1419"/>
      <c r="J29" s="1418"/>
      <c r="K29" s="1419"/>
      <c r="L29" s="843"/>
      <c r="M29" s="1418"/>
      <c r="N29" s="1419"/>
      <c r="P29" s="1418"/>
      <c r="Q29" s="1419"/>
      <c r="S29" s="1418"/>
      <c r="T29" s="1419"/>
      <c r="V29" s="1448"/>
      <c r="W29" s="1449"/>
    </row>
    <row r="30" spans="2:23" s="449" customFormat="1" ht="12.6" customHeight="1">
      <c r="B30" s="449" t="s">
        <v>1638</v>
      </c>
      <c r="G30" s="1418">
        <f>5023800</f>
        <v>5023800</v>
      </c>
      <c r="H30" s="1419"/>
      <c r="J30" s="1418"/>
      <c r="K30" s="1419"/>
      <c r="L30" s="843"/>
      <c r="M30" s="1418"/>
      <c r="N30" s="1419"/>
      <c r="P30" s="1418">
        <f>G30</f>
        <v>5023800</v>
      </c>
      <c r="Q30" s="1419"/>
      <c r="S30" s="1418"/>
      <c r="T30" s="1419"/>
      <c r="V30" s="1450"/>
      <c r="W30" s="1451"/>
    </row>
    <row r="31" spans="2:23" ht="12.6" customHeight="1" thickBot="1">
      <c r="B31" s="449" t="s">
        <v>1639</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5023800</v>
      </c>
      <c r="H32" s="1016"/>
      <c r="J32" s="1015">
        <f>SUM(J29:K31)</f>
        <v>0</v>
      </c>
      <c r="K32" s="1016"/>
      <c r="L32" s="843"/>
      <c r="M32" s="1015">
        <f>SUM(M29:N31)</f>
        <v>0</v>
      </c>
      <c r="N32" s="1016"/>
      <c r="P32" s="1015">
        <f>SUM(P29:Q31)</f>
        <v>5023800</v>
      </c>
      <c r="Q32" s="1016"/>
      <c r="S32" s="1015">
        <f>SUM(S29:T31)</f>
        <v>0</v>
      </c>
      <c r="T32" s="1016"/>
      <c r="V32" s="1454"/>
      <c r="W32" s="1455"/>
    </row>
    <row r="33" spans="1:23" s="449" customFormat="1" ht="13.15" customHeight="1">
      <c r="B33" s="452" t="s">
        <v>3267</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3268</v>
      </c>
      <c r="E34" s="517">
        <f>'DCA Underwriting Assumptions'!$R$38</f>
        <v>0.06</v>
      </c>
      <c r="F34" s="605">
        <f>E34*($G$27+$G$32)</f>
        <v>314585.82</v>
      </c>
      <c r="G34" s="1418">
        <v>314500</v>
      </c>
      <c r="H34" s="1419"/>
      <c r="I34" s="472"/>
      <c r="J34" s="1418"/>
      <c r="K34" s="1419"/>
      <c r="L34" s="843"/>
      <c r="M34" s="1418"/>
      <c r="N34" s="1419"/>
      <c r="P34" s="1418">
        <f>G34</f>
        <v>314500</v>
      </c>
      <c r="Q34" s="1419"/>
      <c r="S34" s="1418"/>
      <c r="T34" s="1419"/>
      <c r="V34" s="1448"/>
      <c r="W34" s="1449"/>
    </row>
    <row r="35" spans="1:23" s="449" customFormat="1" ht="12.6" customHeight="1" thickBot="1">
      <c r="B35" s="449" t="s">
        <v>2923</v>
      </c>
      <c r="E35" s="604">
        <f>'DCA Underwriting Assumptions'!$R$39+'DCA Underwriting Assumptions'!$R$40</f>
        <v>0.08</v>
      </c>
      <c r="F35" s="605">
        <f>E35*($G$27+$G$32)</f>
        <v>419447.76</v>
      </c>
      <c r="G35" s="1418">
        <f>314500+104800</f>
        <v>419300</v>
      </c>
      <c r="H35" s="1419"/>
      <c r="I35" s="472"/>
      <c r="J35" s="1418"/>
      <c r="K35" s="1419"/>
      <c r="L35" s="843"/>
      <c r="M35" s="1418"/>
      <c r="N35" s="1419"/>
      <c r="P35" s="1418">
        <f>G35</f>
        <v>419300</v>
      </c>
      <c r="Q35" s="1419"/>
      <c r="S35" s="1418"/>
      <c r="T35" s="1419"/>
      <c r="V35" s="1450"/>
      <c r="W35" s="1451"/>
    </row>
    <row r="36" spans="1:23" s="449" customFormat="1" ht="12.6" customHeight="1" thickTop="1">
      <c r="B36" s="449" t="s">
        <v>2924</v>
      </c>
      <c r="D36" s="520"/>
      <c r="E36" s="833"/>
      <c r="F36" s="606" t="s">
        <v>230</v>
      </c>
      <c r="G36" s="1015">
        <f>SUM(G34:H35)</f>
        <v>733800</v>
      </c>
      <c r="H36" s="1016"/>
      <c r="J36" s="1015">
        <f>SUM(J34:K35)</f>
        <v>0</v>
      </c>
      <c r="K36" s="1016"/>
      <c r="L36" s="515"/>
      <c r="M36" s="1015">
        <f>SUM(M34:N35)</f>
        <v>0</v>
      </c>
      <c r="N36" s="1016"/>
      <c r="P36" s="1015">
        <f>SUM(P34:Q35)</f>
        <v>733800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99614.95</v>
      </c>
      <c r="E38" s="523"/>
      <c r="F38" s="524" t="s">
        <v>1974</v>
      </c>
      <c r="V38" s="1448"/>
      <c r="W38" s="1449"/>
    </row>
    <row r="39" spans="1:23" s="449" customFormat="1" ht="12.6" customHeight="1">
      <c r="B39" s="1030">
        <f>G27+G32+G36</f>
        <v>5976897</v>
      </c>
      <c r="C39" s="1031"/>
      <c r="D39" s="525">
        <f>B39/'Part VI-Revenues &amp; Expenses'!$M$100</f>
        <v>98.026913993308398</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7.0218208545337155E-2</v>
      </c>
      <c r="G42" s="1418">
        <v>419687</v>
      </c>
      <c r="H42" s="1419"/>
      <c r="I42" s="449"/>
      <c r="J42" s="1418"/>
      <c r="K42" s="1419"/>
      <c r="L42" s="843"/>
      <c r="M42" s="1418"/>
      <c r="N42" s="1419"/>
      <c r="O42" s="449"/>
      <c r="P42" s="1418">
        <f>G42</f>
        <v>419687</v>
      </c>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3864</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3270</v>
      </c>
      <c r="G48" s="1418">
        <v>65000</v>
      </c>
      <c r="H48" s="1419"/>
      <c r="J48" s="1418"/>
      <c r="K48" s="1419"/>
      <c r="L48" s="843"/>
      <c r="M48" s="1418"/>
      <c r="N48" s="1419"/>
      <c r="P48" s="1418">
        <f>G48</f>
        <v>65000</v>
      </c>
      <c r="Q48" s="1419"/>
      <c r="S48" s="1418">
        <f>G48-P48</f>
        <v>0</v>
      </c>
      <c r="T48" s="1419"/>
      <c r="V48" s="1448"/>
      <c r="W48" s="1449"/>
    </row>
    <row r="49" spans="1:23" s="449" customFormat="1" ht="12" customHeight="1">
      <c r="B49" s="449" t="s">
        <v>3271</v>
      </c>
      <c r="G49" s="1418">
        <v>165000</v>
      </c>
      <c r="H49" s="1419"/>
      <c r="J49" s="1418"/>
      <c r="K49" s="1419"/>
      <c r="L49" s="843"/>
      <c r="M49" s="1418"/>
      <c r="N49" s="1419"/>
      <c r="P49" s="1418">
        <f>G49</f>
        <v>165000</v>
      </c>
      <c r="Q49" s="1419"/>
      <c r="S49" s="1418">
        <f>G49-P49</f>
        <v>0</v>
      </c>
      <c r="T49" s="1419"/>
      <c r="V49" s="1450"/>
      <c r="W49" s="1451"/>
    </row>
    <row r="50" spans="1:23" s="449" customFormat="1" ht="12" customHeight="1">
      <c r="B50" s="449" t="s">
        <v>3272</v>
      </c>
      <c r="G50" s="1418"/>
      <c r="H50" s="1419"/>
      <c r="J50" s="1418"/>
      <c r="K50" s="1419"/>
      <c r="L50" s="843"/>
      <c r="M50" s="1418"/>
      <c r="N50" s="1419"/>
      <c r="P50" s="1418"/>
      <c r="Q50" s="1419"/>
      <c r="S50" s="1418"/>
      <c r="T50" s="1419"/>
      <c r="V50" s="1450"/>
      <c r="W50" s="1451"/>
    </row>
    <row r="51" spans="1:23" s="449" customFormat="1" ht="12" customHeight="1">
      <c r="B51" s="449" t="s">
        <v>3933</v>
      </c>
      <c r="G51" s="1418">
        <v>14000</v>
      </c>
      <c r="H51" s="1419"/>
      <c r="J51" s="1418"/>
      <c r="K51" s="1419"/>
      <c r="L51" s="843"/>
      <c r="M51" s="1418"/>
      <c r="N51" s="1419"/>
      <c r="P51" s="1418">
        <f>G51</f>
        <v>14000</v>
      </c>
      <c r="Q51" s="1419"/>
      <c r="S51" s="1418"/>
      <c r="T51" s="1419"/>
      <c r="V51" s="1450"/>
      <c r="W51" s="1451"/>
    </row>
    <row r="52" spans="1:23" s="449" customFormat="1" ht="12" customHeight="1">
      <c r="B52" s="449" t="s">
        <v>1004</v>
      </c>
      <c r="G52" s="1418">
        <v>15000</v>
      </c>
      <c r="H52" s="1419"/>
      <c r="J52" s="1418"/>
      <c r="K52" s="1419"/>
      <c r="L52" s="843"/>
      <c r="M52" s="1418"/>
      <c r="N52" s="1419"/>
      <c r="P52" s="1418">
        <f>G52</f>
        <v>15000</v>
      </c>
      <c r="Q52" s="1419"/>
      <c r="S52" s="1418">
        <f>G52-P52</f>
        <v>0</v>
      </c>
      <c r="T52" s="1419"/>
      <c r="V52" s="1450"/>
      <c r="W52" s="1451"/>
    </row>
    <row r="53" spans="1:23" s="449" customFormat="1" ht="12" customHeight="1">
      <c r="B53" s="449" t="s">
        <v>3273</v>
      </c>
      <c r="G53" s="1418">
        <v>30000</v>
      </c>
      <c r="H53" s="1419"/>
      <c r="J53" s="1418"/>
      <c r="K53" s="1419"/>
      <c r="L53" s="843"/>
      <c r="M53" s="1418"/>
      <c r="N53" s="1419"/>
      <c r="P53" s="1418">
        <f>G53</f>
        <v>30000</v>
      </c>
      <c r="Q53" s="1419"/>
      <c r="S53" s="1418">
        <f>G53-P53</f>
        <v>0</v>
      </c>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v>59955</v>
      </c>
      <c r="H55" s="1419"/>
      <c r="I55" s="472"/>
      <c r="J55" s="1418"/>
      <c r="K55" s="1419"/>
      <c r="L55" s="843"/>
      <c r="M55" s="1418"/>
      <c r="N55" s="1419"/>
      <c r="P55" s="1418">
        <f>G55</f>
        <v>59955</v>
      </c>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3397</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348955</v>
      </c>
      <c r="H57" s="1016"/>
      <c r="J57" s="1015">
        <f>SUM(J48:K56)</f>
        <v>0</v>
      </c>
      <c r="K57" s="1016"/>
      <c r="L57" s="515"/>
      <c r="M57" s="1015">
        <f>SUM(M48:N56)</f>
        <v>0</v>
      </c>
      <c r="N57" s="1016"/>
      <c r="P57" s="1015">
        <f>SUM(P48:Q56)</f>
        <v>348955</v>
      </c>
      <c r="Q57" s="1016"/>
      <c r="S57" s="1015">
        <f>SUM(S48:T56)</f>
        <v>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144000</v>
      </c>
      <c r="H59" s="1419"/>
      <c r="J59" s="1418"/>
      <c r="K59" s="1419"/>
      <c r="L59" s="843"/>
      <c r="M59" s="1418"/>
      <c r="N59" s="1419"/>
      <c r="P59" s="1418">
        <f>G59</f>
        <v>144000</v>
      </c>
      <c r="Q59" s="1419"/>
      <c r="S59" s="1418"/>
      <c r="T59" s="1419"/>
      <c r="V59" s="1448"/>
      <c r="W59" s="1449"/>
    </row>
    <row r="60" spans="1:23" s="449" customFormat="1" ht="12" customHeight="1">
      <c r="B60" s="449" t="s">
        <v>663</v>
      </c>
      <c r="G60" s="1418">
        <v>36000</v>
      </c>
      <c r="H60" s="1419"/>
      <c r="J60" s="1418"/>
      <c r="K60" s="1419"/>
      <c r="L60" s="843"/>
      <c r="M60" s="1418"/>
      <c r="N60" s="1419"/>
      <c r="P60" s="1418">
        <f>G60</f>
        <v>36000</v>
      </c>
      <c r="Q60" s="1419"/>
      <c r="S60" s="1418"/>
      <c r="T60" s="1419"/>
      <c r="V60" s="1450"/>
      <c r="W60" s="1451"/>
    </row>
    <row r="61" spans="1:23" s="449" customFormat="1" ht="12" customHeight="1">
      <c r="B61" s="449" t="s">
        <v>1643</v>
      </c>
      <c r="G61" s="1418">
        <v>5000</v>
      </c>
      <c r="H61" s="1419"/>
      <c r="J61" s="1418"/>
      <c r="K61" s="1419"/>
      <c r="L61" s="843"/>
      <c r="M61" s="1418"/>
      <c r="N61" s="1419"/>
      <c r="P61" s="1418">
        <f>G61</f>
        <v>5000</v>
      </c>
      <c r="Q61" s="1419"/>
      <c r="S61" s="1418"/>
      <c r="T61" s="1419"/>
      <c r="V61" s="1450"/>
      <c r="W61" s="1451"/>
    </row>
    <row r="62" spans="1:23" s="449" customFormat="1" ht="12" customHeight="1">
      <c r="B62" s="449" t="s">
        <v>1644</v>
      </c>
      <c r="G62" s="1418">
        <v>20000</v>
      </c>
      <c r="H62" s="1419"/>
      <c r="J62" s="1418"/>
      <c r="K62" s="1419"/>
      <c r="L62" s="843"/>
      <c r="M62" s="1418"/>
      <c r="N62" s="1419"/>
      <c r="P62" s="1418">
        <f>G62</f>
        <v>20000</v>
      </c>
      <c r="Q62" s="1419"/>
      <c r="S62" s="1418"/>
      <c r="T62" s="1419"/>
      <c r="V62" s="1450"/>
      <c r="W62" s="1451"/>
    </row>
    <row r="63" spans="1:23" s="449" customFormat="1" ht="12" customHeight="1">
      <c r="B63" s="449" t="s">
        <v>1645</v>
      </c>
      <c r="G63" s="1418">
        <f>1600*3</f>
        <v>4800</v>
      </c>
      <c r="H63" s="1419"/>
      <c r="J63" s="1418"/>
      <c r="K63" s="1419"/>
      <c r="L63" s="843"/>
      <c r="M63" s="1418"/>
      <c r="N63" s="1419"/>
      <c r="P63" s="1418">
        <f>G63</f>
        <v>4800</v>
      </c>
      <c r="Q63" s="1419"/>
      <c r="S63" s="1418"/>
      <c r="T63" s="1419"/>
      <c r="V63" s="1450"/>
      <c r="W63" s="1451"/>
    </row>
    <row r="64" spans="1:23" s="449" customFormat="1" ht="12" customHeight="1">
      <c r="B64" s="449" t="s">
        <v>1646</v>
      </c>
      <c r="G64" s="1418"/>
      <c r="H64" s="1419"/>
      <c r="J64" s="1418"/>
      <c r="K64" s="1419"/>
      <c r="L64" s="843"/>
      <c r="M64" s="1418"/>
      <c r="N64" s="1419"/>
      <c r="P64" s="1418"/>
      <c r="Q64" s="1419"/>
      <c r="S64" s="1418"/>
      <c r="T64" s="1419"/>
      <c r="V64" s="1450"/>
      <c r="W64" s="1451"/>
    </row>
    <row r="65" spans="1:23" s="449" customFormat="1" ht="12" customHeight="1">
      <c r="B65" s="449" t="s">
        <v>664</v>
      </c>
      <c r="G65" s="1418">
        <v>25000</v>
      </c>
      <c r="H65" s="1419"/>
      <c r="J65" s="1418"/>
      <c r="K65" s="1419"/>
      <c r="L65" s="843"/>
      <c r="M65" s="1418"/>
      <c r="N65" s="1419"/>
      <c r="P65" s="1418">
        <f>G65</f>
        <v>25000</v>
      </c>
      <c r="Q65" s="1419"/>
      <c r="S65" s="1418"/>
      <c r="T65" s="1419"/>
      <c r="V65" s="1450"/>
      <c r="W65" s="1451"/>
    </row>
    <row r="66" spans="1:23" s="449" customFormat="1" ht="12" customHeight="1">
      <c r="B66" s="449" t="s">
        <v>665</v>
      </c>
      <c r="G66" s="1418">
        <f>30000+15000+2</f>
        <v>45002</v>
      </c>
      <c r="H66" s="1419"/>
      <c r="J66" s="1418"/>
      <c r="K66" s="1419"/>
      <c r="L66" s="843"/>
      <c r="M66" s="1418"/>
      <c r="N66" s="1419"/>
      <c r="P66" s="1418">
        <f>25000+15000+1</f>
        <v>40001</v>
      </c>
      <c r="Q66" s="1419"/>
      <c r="S66" s="1418">
        <f>G66-P66</f>
        <v>5001</v>
      </c>
      <c r="T66" s="1419"/>
      <c r="V66" s="1450"/>
      <c r="W66" s="1451"/>
    </row>
    <row r="67" spans="1:23" s="449" customFormat="1" ht="12" customHeight="1">
      <c r="B67" s="449" t="s">
        <v>2934</v>
      </c>
      <c r="G67" s="1418">
        <v>18000</v>
      </c>
      <c r="H67" s="1419"/>
      <c r="J67" s="1418"/>
      <c r="K67" s="1419"/>
      <c r="L67" s="843"/>
      <c r="M67" s="1418"/>
      <c r="N67" s="1419"/>
      <c r="P67" s="1418">
        <f>G67</f>
        <v>18000</v>
      </c>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3397</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297802</v>
      </c>
      <c r="H69" s="1016"/>
      <c r="J69" s="1015">
        <f>SUM(J59:K68)</f>
        <v>0</v>
      </c>
      <c r="K69" s="1016"/>
      <c r="L69" s="515"/>
      <c r="M69" s="1015">
        <f>SUM(M59:N68)</f>
        <v>0</v>
      </c>
      <c r="N69" s="1016"/>
      <c r="P69" s="1015">
        <f>SUM(P59:Q68)</f>
        <v>292801</v>
      </c>
      <c r="Q69" s="1016"/>
      <c r="S69" s="1015">
        <f>SUM(S59:T68)</f>
        <v>5001</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18639</v>
      </c>
      <c r="H71" s="1419"/>
      <c r="J71" s="1418"/>
      <c r="K71" s="1419"/>
      <c r="L71" s="843"/>
      <c r="M71" s="1418"/>
      <c r="N71" s="1419"/>
      <c r="P71" s="1418">
        <f>G71</f>
        <v>18639</v>
      </c>
      <c r="Q71" s="1419"/>
      <c r="S71" s="1418"/>
      <c r="T71" s="1419"/>
      <c r="V71" s="1460"/>
      <c r="W71" s="1461"/>
    </row>
    <row r="72" spans="1:23" s="449" customFormat="1" ht="12" customHeight="1">
      <c r="B72" s="449" t="s">
        <v>1826</v>
      </c>
      <c r="G72" s="1418"/>
      <c r="H72" s="1419"/>
      <c r="J72" s="1418"/>
      <c r="K72" s="1419"/>
      <c r="L72" s="843"/>
      <c r="M72" s="1418"/>
      <c r="N72" s="1419"/>
      <c r="P72" s="1418"/>
      <c r="Q72" s="1419"/>
      <c r="S72" s="1418"/>
      <c r="T72" s="1419"/>
      <c r="V72" s="1462"/>
      <c r="W72" s="1463"/>
    </row>
    <row r="73" spans="1:23" s="449" customFormat="1" ht="12" customHeight="1">
      <c r="B73" s="449" t="s">
        <v>1827</v>
      </c>
      <c r="D73" s="529" t="s">
        <v>1975</v>
      </c>
      <c r="E73" s="1464" t="s">
        <v>3981</v>
      </c>
      <c r="G73" s="1418"/>
      <c r="H73" s="1419"/>
      <c r="I73" s="472"/>
      <c r="J73" s="1418"/>
      <c r="K73" s="1419"/>
      <c r="L73" s="843"/>
      <c r="M73" s="1418"/>
      <c r="N73" s="1419"/>
      <c r="P73" s="1418"/>
      <c r="Q73" s="1419"/>
      <c r="S73" s="1418"/>
      <c r="T73" s="1419"/>
      <c r="V73" s="1462"/>
      <c r="W73" s="1463"/>
    </row>
    <row r="74" spans="1:23" s="449" customFormat="1" ht="12" customHeight="1" thickBot="1">
      <c r="B74" s="449" t="s">
        <v>1828</v>
      </c>
      <c r="D74" s="529" t="s">
        <v>1975</v>
      </c>
      <c r="E74" s="1464" t="s">
        <v>3981</v>
      </c>
      <c r="G74" s="1418"/>
      <c r="H74" s="1419"/>
      <c r="I74" s="472"/>
      <c r="J74" s="1418"/>
      <c r="K74" s="1419"/>
      <c r="L74" s="843"/>
      <c r="M74" s="1418"/>
      <c r="N74" s="1419"/>
      <c r="P74" s="1418"/>
      <c r="Q74" s="1419"/>
      <c r="S74" s="1418"/>
      <c r="T74" s="1419"/>
      <c r="V74" s="1462"/>
      <c r="W74" s="1463"/>
    </row>
    <row r="75" spans="1:23" s="449" customFormat="1" ht="12" customHeight="1" thickTop="1">
      <c r="F75" s="513" t="s">
        <v>230</v>
      </c>
      <c r="G75" s="1015">
        <f>SUM(G71:H74)</f>
        <v>18639</v>
      </c>
      <c r="H75" s="1016"/>
      <c r="J75" s="1015">
        <f>SUM(J71:K74)</f>
        <v>0</v>
      </c>
      <c r="K75" s="1016"/>
      <c r="L75" s="515"/>
      <c r="M75" s="1015">
        <f>SUM(M71:N74)</f>
        <v>0</v>
      </c>
      <c r="N75" s="1016"/>
      <c r="P75" s="1015">
        <f>SUM(P71:Q74)</f>
        <v>18639</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c r="H77" s="1419"/>
      <c r="J77" s="1009"/>
      <c r="K77" s="1009"/>
      <c r="L77" s="843"/>
      <c r="M77" s="1009"/>
      <c r="N77" s="1009"/>
      <c r="P77" s="1009"/>
      <c r="Q77" s="1009"/>
      <c r="S77" s="1418"/>
      <c r="T77" s="1419"/>
      <c r="V77" s="1460"/>
      <c r="W77" s="1461"/>
    </row>
    <row r="78" spans="1:23" s="449" customFormat="1" ht="12" customHeight="1">
      <c r="B78" s="449" t="s">
        <v>1830</v>
      </c>
      <c r="G78" s="1418"/>
      <c r="H78" s="1419"/>
      <c r="J78" s="1027"/>
      <c r="K78" s="1027"/>
      <c r="L78" s="843"/>
      <c r="M78" s="1027"/>
      <c r="N78" s="1027"/>
      <c r="P78" s="1027"/>
      <c r="Q78" s="1027"/>
      <c r="S78" s="1418"/>
      <c r="T78" s="1419"/>
      <c r="V78" s="1462"/>
      <c r="W78" s="1463"/>
    </row>
    <row r="79" spans="1:23" s="449" customFormat="1" ht="12" customHeight="1">
      <c r="B79" s="449" t="s">
        <v>1831</v>
      </c>
      <c r="G79" s="1418">
        <v>15000</v>
      </c>
      <c r="H79" s="1419"/>
      <c r="J79" s="1418"/>
      <c r="K79" s="1419"/>
      <c r="L79" s="843"/>
      <c r="M79" s="1418"/>
      <c r="N79" s="1419"/>
      <c r="P79" s="1418"/>
      <c r="Q79" s="1419"/>
      <c r="S79" s="1418">
        <f>G79</f>
        <v>15000</v>
      </c>
      <c r="T79" s="1419"/>
      <c r="V79" s="1462"/>
      <c r="W79" s="1463"/>
    </row>
    <row r="80" spans="1:23" s="449" customFormat="1" ht="12" customHeight="1">
      <c r="B80" s="449" t="s">
        <v>1832</v>
      </c>
      <c r="G80" s="1418">
        <v>5000</v>
      </c>
      <c r="H80" s="1419"/>
      <c r="J80" s="1418"/>
      <c r="K80" s="1419"/>
      <c r="L80" s="843"/>
      <c r="M80" s="1418"/>
      <c r="N80" s="1419"/>
      <c r="P80" s="1418">
        <f>G80</f>
        <v>5000</v>
      </c>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3215</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3397</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20000</v>
      </c>
      <c r="H84" s="1016"/>
      <c r="J84" s="1015">
        <f>SUM(J79:K83)</f>
        <v>0</v>
      </c>
      <c r="K84" s="1016"/>
      <c r="L84" s="515"/>
      <c r="M84" s="1015">
        <f>SUM(M79:N83)</f>
        <v>0</v>
      </c>
      <c r="N84" s="1016"/>
      <c r="P84" s="1015">
        <f>SUM(P79:Q83)</f>
        <v>5000</v>
      </c>
      <c r="Q84" s="1016"/>
      <c r="S84" s="1015">
        <f>SUM(S77:T83)</f>
        <v>15000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3864</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1000</v>
      </c>
      <c r="H89" s="1419"/>
      <c r="J89" s="515"/>
      <c r="K89" s="515"/>
      <c r="L89" s="843"/>
      <c r="M89" s="515"/>
      <c r="N89" s="515"/>
      <c r="P89" s="515"/>
      <c r="Q89" s="515"/>
      <c r="S89" s="1418">
        <f>G89</f>
        <v>1000</v>
      </c>
      <c r="T89" s="1419"/>
      <c r="V89" s="1460"/>
      <c r="W89" s="1461"/>
    </row>
    <row r="90" spans="1:23" s="449" customFormat="1" ht="12.6" customHeight="1">
      <c r="B90" s="449" t="s">
        <v>1735</v>
      </c>
      <c r="G90" s="1418">
        <v>6500</v>
      </c>
      <c r="H90" s="1419"/>
      <c r="J90" s="515"/>
      <c r="K90" s="515"/>
      <c r="L90" s="530"/>
      <c r="M90" s="515"/>
      <c r="N90" s="515"/>
      <c r="P90" s="515"/>
      <c r="Q90" s="515"/>
      <c r="S90" s="1418">
        <f t="shared" ref="S90:S93" si="0">G90</f>
        <v>6500</v>
      </c>
      <c r="T90" s="1419"/>
      <c r="V90" s="1462"/>
      <c r="W90" s="1463"/>
    </row>
    <row r="91" spans="1:23" s="449" customFormat="1" ht="12.6" customHeight="1">
      <c r="B91" s="449" t="s">
        <v>3952</v>
      </c>
      <c r="G91" s="1418">
        <v>1500</v>
      </c>
      <c r="H91" s="1419"/>
      <c r="J91" s="515"/>
      <c r="K91" s="515"/>
      <c r="L91" s="530"/>
      <c r="M91" s="515"/>
      <c r="N91" s="515"/>
      <c r="O91" s="833"/>
      <c r="P91" s="515"/>
      <c r="Q91" s="515"/>
      <c r="S91" s="1418">
        <f t="shared" si="0"/>
        <v>1500</v>
      </c>
      <c r="T91" s="1419"/>
      <c r="V91" s="1462"/>
      <c r="W91" s="1463"/>
    </row>
    <row r="92" spans="1:23" s="449" customFormat="1" ht="12.6" customHeight="1">
      <c r="B92" s="449" t="s">
        <v>754</v>
      </c>
      <c r="E92" s="1032">
        <f>'DCA Underwriting Assumptions'!$Q$41*$J$165</f>
        <v>67739.28</v>
      </c>
      <c r="F92" s="1033"/>
      <c r="G92" s="1418">
        <v>67739</v>
      </c>
      <c r="H92" s="1419"/>
      <c r="J92" s="515"/>
      <c r="K92" s="515"/>
      <c r="L92" s="843"/>
      <c r="M92" s="515"/>
      <c r="N92" s="515"/>
      <c r="O92" s="833"/>
      <c r="P92" s="515"/>
      <c r="Q92" s="515"/>
      <c r="S92" s="1418">
        <f>G92</f>
        <v>67739</v>
      </c>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033"/>
      <c r="G93" s="1418">
        <v>48000</v>
      </c>
      <c r="H93" s="1419"/>
      <c r="J93" s="416"/>
      <c r="K93" s="416"/>
      <c r="L93" s="416"/>
      <c r="M93" s="416"/>
      <c r="N93" s="416"/>
      <c r="O93" s="416"/>
      <c r="P93" s="416"/>
      <c r="Q93" s="416"/>
      <c r="S93" s="1418">
        <f t="shared" si="0"/>
        <v>48000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3314</v>
      </c>
      <c r="G95" s="1418">
        <v>3000</v>
      </c>
      <c r="H95" s="1419"/>
      <c r="J95" s="416"/>
      <c r="K95" s="416"/>
      <c r="L95" s="416"/>
      <c r="M95" s="416"/>
      <c r="N95" s="416"/>
      <c r="O95" s="416"/>
      <c r="P95" s="416"/>
      <c r="Q95" s="416"/>
      <c r="S95" s="1418">
        <f>G95</f>
        <v>3000</v>
      </c>
      <c r="T95" s="1419"/>
      <c r="V95" s="1462"/>
      <c r="W95" s="1463"/>
    </row>
    <row r="96" spans="1:23" s="449" customFormat="1" ht="12.6" customHeight="1">
      <c r="A96" s="548" t="str">
        <f>IF(AND(G96&gt;0,OR(C96="",C96="&lt;Enter detailed description here; use Comments section if needed&gt;")),"X","")</f>
        <v/>
      </c>
      <c r="B96" s="449" t="s">
        <v>1137</v>
      </c>
      <c r="C96" s="1298" t="s">
        <v>3397</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3397</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127739</v>
      </c>
      <c r="H98" s="1016"/>
      <c r="J98" s="515"/>
      <c r="K98" s="515"/>
      <c r="L98" s="843"/>
      <c r="M98" s="515"/>
      <c r="N98" s="515"/>
      <c r="P98" s="515"/>
      <c r="Q98" s="515"/>
      <c r="S98" s="1015">
        <f>SUM(S89:T97)</f>
        <v>127739</v>
      </c>
      <c r="T98" s="1016"/>
      <c r="V98" s="1465"/>
      <c r="W98" s="1466"/>
    </row>
    <row r="99" spans="1:23" s="449" customFormat="1" ht="13.15" customHeight="1">
      <c r="B99" s="452" t="s">
        <v>3216</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3000</v>
      </c>
      <c r="H100" s="1419"/>
      <c r="J100" s="1009"/>
      <c r="K100" s="1009"/>
      <c r="L100" s="843"/>
      <c r="M100" s="1009"/>
      <c r="N100" s="1009"/>
      <c r="O100" s="833"/>
      <c r="P100" s="1009"/>
      <c r="Q100" s="1009"/>
      <c r="S100" s="1418">
        <f t="shared" ref="S100:S101" si="1">G100</f>
        <v>3000</v>
      </c>
      <c r="T100" s="1419"/>
      <c r="V100" s="1460"/>
      <c r="W100" s="1461"/>
    </row>
    <row r="101" spans="1:23" s="449" customFormat="1" ht="12.6" customHeight="1">
      <c r="B101" s="449" t="s">
        <v>346</v>
      </c>
      <c r="G101" s="1418">
        <v>3000</v>
      </c>
      <c r="H101" s="1419"/>
      <c r="J101" s="1009"/>
      <c r="K101" s="1009"/>
      <c r="L101" s="843"/>
      <c r="M101" s="1009"/>
      <c r="N101" s="1009"/>
      <c r="O101" s="833"/>
      <c r="P101" s="1009"/>
      <c r="Q101" s="1009"/>
      <c r="S101" s="1418">
        <f t="shared" si="1"/>
        <v>3000</v>
      </c>
      <c r="T101" s="1419"/>
      <c r="V101" s="1462"/>
      <c r="W101" s="1463"/>
    </row>
    <row r="102" spans="1:23" s="449" customFormat="1" ht="12.6" customHeight="1">
      <c r="B102" s="449" t="s">
        <v>3358</v>
      </c>
      <c r="G102" s="1418"/>
      <c r="H102" s="1419"/>
      <c r="J102" s="1009"/>
      <c r="K102" s="1009"/>
      <c r="L102" s="843"/>
      <c r="M102" s="1009"/>
      <c r="N102" s="1009"/>
      <c r="O102" s="833"/>
      <c r="P102" s="1009"/>
      <c r="Q102" s="1009"/>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3397</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6000</v>
      </c>
      <c r="H104" s="1016"/>
      <c r="J104" s="1009"/>
      <c r="K104" s="1009"/>
      <c r="L104" s="843"/>
      <c r="M104" s="1009"/>
      <c r="N104" s="1009"/>
      <c r="O104" s="833"/>
      <c r="P104" s="1009"/>
      <c r="Q104" s="1009"/>
      <c r="S104" s="1015">
        <f>SUM(S100:T103)</f>
        <v>6000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0.50000040122904477</v>
      </c>
      <c r="G106" s="1418">
        <v>623086</v>
      </c>
      <c r="H106" s="1419"/>
      <c r="J106" s="1418"/>
      <c r="K106" s="1419"/>
      <c r="L106" s="514"/>
      <c r="M106" s="1418">
        <v>43500</v>
      </c>
      <c r="N106" s="1419"/>
      <c r="P106" s="1418">
        <f>G106-M106</f>
        <v>579586</v>
      </c>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0.49999959877095518</v>
      </c>
      <c r="G108" s="1418">
        <v>623085</v>
      </c>
      <c r="H108" s="1419"/>
      <c r="J108" s="1418"/>
      <c r="K108" s="1419"/>
      <c r="L108" s="843"/>
      <c r="M108" s="1418">
        <v>43500</v>
      </c>
      <c r="N108" s="1419"/>
      <c r="P108" s="1418">
        <f>G108-M108</f>
        <v>579585</v>
      </c>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1246171</v>
      </c>
      <c r="H109" s="1016"/>
      <c r="J109" s="1015">
        <f>SUM(J106:K108)</f>
        <v>0</v>
      </c>
      <c r="K109" s="1016"/>
      <c r="L109" s="843"/>
      <c r="M109" s="1015">
        <f>SUM(M106:N108)</f>
        <v>87000</v>
      </c>
      <c r="N109" s="1016"/>
      <c r="P109" s="1015">
        <f>SUM(P106:Q108)</f>
        <v>1159171</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25000</v>
      </c>
      <c r="H111" s="1419"/>
      <c r="J111" s="531"/>
      <c r="K111" s="531"/>
      <c r="L111" s="531"/>
      <c r="M111" s="531"/>
      <c r="N111" s="531"/>
      <c r="P111" s="531"/>
      <c r="Q111" s="531"/>
      <c r="S111" s="1418">
        <f t="shared" ref="S111:S113" si="2">G111</f>
        <v>25000</v>
      </c>
      <c r="T111" s="1419"/>
      <c r="V111" s="1460"/>
      <c r="W111" s="1461"/>
    </row>
    <row r="112" spans="1:23" s="449" customFormat="1" ht="12.6" customHeight="1">
      <c r="B112" s="449" t="s">
        <v>2137</v>
      </c>
      <c r="G112" s="1418">
        <v>58940</v>
      </c>
      <c r="H112" s="1419"/>
      <c r="J112" s="1009"/>
      <c r="K112" s="1009"/>
      <c r="L112" s="843"/>
      <c r="M112" s="1009"/>
      <c r="N112" s="1009"/>
      <c r="O112" s="833"/>
      <c r="P112" s="1009"/>
      <c r="Q112" s="1009"/>
      <c r="R112" s="833"/>
      <c r="S112" s="1418">
        <f t="shared" si="2"/>
        <v>58940</v>
      </c>
      <c r="T112" s="1419"/>
      <c r="V112" s="1462"/>
      <c r="W112" s="1463"/>
    </row>
    <row r="113" spans="1:23" s="449" customFormat="1" ht="12.6" customHeight="1">
      <c r="B113" s="449" t="s">
        <v>948</v>
      </c>
      <c r="F113" s="472"/>
      <c r="G113" s="1418">
        <v>117879</v>
      </c>
      <c r="H113" s="1419"/>
      <c r="J113" s="530"/>
      <c r="K113" s="530"/>
      <c r="L113" s="530"/>
      <c r="M113" s="530"/>
      <c r="N113" s="530"/>
      <c r="O113" s="833"/>
      <c r="P113" s="530"/>
      <c r="Q113" s="530"/>
      <c r="R113" s="833"/>
      <c r="S113" s="1418">
        <f t="shared" si="2"/>
        <v>117879</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1000</v>
      </c>
      <c r="G115" s="1418">
        <v>60000</v>
      </c>
      <c r="H115" s="1419"/>
      <c r="J115" s="1418"/>
      <c r="K115" s="1419"/>
      <c r="L115" s="843"/>
      <c r="M115" s="1418"/>
      <c r="N115" s="1419"/>
      <c r="P115" s="1418">
        <f>G115</f>
        <v>60000</v>
      </c>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3397</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261819</v>
      </c>
      <c r="H117" s="1016"/>
      <c r="J117" s="1015">
        <f>SUM(J115:K116)</f>
        <v>0</v>
      </c>
      <c r="K117" s="1016"/>
      <c r="L117" s="843"/>
      <c r="M117" s="1015">
        <f>SUM(M115:N116)</f>
        <v>0</v>
      </c>
      <c r="N117" s="1016"/>
      <c r="P117" s="1015">
        <f>SUM(P115:Q116)</f>
        <v>60000</v>
      </c>
      <c r="Q117" s="1016"/>
      <c r="S117" s="1015">
        <f>SUM(S111:T116)</f>
        <v>201819</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3397</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9723986</v>
      </c>
      <c r="H123" s="1049"/>
      <c r="J123" s="1048">
        <f>J17+J23+J27+J32+J36+J42+J57+J69+J75+J84+J98+J104+J109+J117+J121</f>
        <v>0</v>
      </c>
      <c r="K123" s="1049"/>
      <c r="M123" s="1048">
        <f>M17+M23+M27+M32+M36+M42+M57+M69+M75+M84+M98+M104+M109+M117+M121</f>
        <v>667000</v>
      </c>
      <c r="N123" s="1049"/>
      <c r="P123" s="1048">
        <f>P17+P23+P27+P32+P36+P42+P57+P69+P75+P84+P98+P104+P109+P117+P121</f>
        <v>8487568</v>
      </c>
      <c r="Q123" s="1049"/>
      <c r="S123" s="1048">
        <f>S17+S23+S27+S32+S36+S42+S57+S69+S75+S84+S98+S104+S109+S117+S121</f>
        <v>569418</v>
      </c>
      <c r="T123" s="1049"/>
      <c r="V123" s="1465"/>
      <c r="W123" s="1466"/>
    </row>
    <row r="124" spans="1:23" s="449" customFormat="1" ht="3" customHeight="1" thickBot="1">
      <c r="C124" s="826"/>
      <c r="H124" s="528"/>
      <c r="I124" s="528"/>
      <c r="L124" s="833"/>
    </row>
    <row r="125" spans="1:23" s="449" customFormat="1" ht="13.9" customHeight="1" thickBot="1">
      <c r="B125" s="456" t="s">
        <v>3620</v>
      </c>
      <c r="D125" s="1074">
        <f>IF(AND($T$155 = "Yes", 'Part IX A-Scoring Criteria'!$O$246 &gt; 0),'DCA Underwriting Assumptions'!$R$13, IF(AND('Part IV-Uses of Funds'!$T$156="Yes", 'Part IX A-Scoring Criteria'!$O$67&gt;0),'DCA Underwriting Assumptions'!$R$12, 'DCA Underwriting Assumptions'!$R$11))</f>
        <v>9725976</v>
      </c>
      <c r="E125" s="1075"/>
      <c r="F125" s="452" t="s">
        <v>957</v>
      </c>
      <c r="G125" s="1053">
        <f>G123/'Part VI-Revenues &amp; Expenses'!$M$62</f>
        <v>162066.43333333332</v>
      </c>
      <c r="H125" s="1054"/>
      <c r="I125" s="533"/>
      <c r="J125" s="456" t="s">
        <v>958</v>
      </c>
      <c r="M125" s="1053">
        <f>G123/'Part VI-Revenues &amp; Expenses'!$M$100</f>
        <v>159.48281178245753</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3397</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3263</v>
      </c>
      <c r="V139" s="449" t="str">
        <f>B139</f>
        <v>Eligible Basis Calculation</v>
      </c>
    </row>
    <row r="140" spans="2:23" s="449" customFormat="1" ht="13.9" customHeight="1">
      <c r="B140" s="449" t="s">
        <v>2645</v>
      </c>
      <c r="J140" s="1034">
        <f>J123</f>
        <v>0</v>
      </c>
      <c r="K140" s="1035"/>
      <c r="M140" s="1050">
        <f>M123</f>
        <v>667000</v>
      </c>
      <c r="N140" s="1051"/>
      <c r="P140" s="1034">
        <f>P123</f>
        <v>8487568</v>
      </c>
      <c r="Q140" s="1035"/>
      <c r="V140" s="1460"/>
      <c r="W140" s="1461"/>
    </row>
    <row r="141" spans="2:23" s="449" customFormat="1" ht="13.9" customHeight="1">
      <c r="B141" s="449" t="s">
        <v>3127</v>
      </c>
      <c r="J141" s="1036">
        <f>J137</f>
        <v>0</v>
      </c>
      <c r="K141" s="1037"/>
      <c r="M141" s="1040"/>
      <c r="N141" s="1040"/>
      <c r="P141" s="1036">
        <f>P137</f>
        <v>0</v>
      </c>
      <c r="Q141" s="1037"/>
      <c r="V141" s="1462"/>
      <c r="W141" s="1463"/>
    </row>
    <row r="142" spans="2:23" s="449" customFormat="1" ht="13.9" customHeight="1">
      <c r="B142" s="449" t="s">
        <v>3128</v>
      </c>
      <c r="J142" s="1036">
        <f>J140-J141</f>
        <v>0</v>
      </c>
      <c r="K142" s="1037"/>
      <c r="M142" s="1036">
        <f>M140</f>
        <v>667000</v>
      </c>
      <c r="N142" s="1037"/>
      <c r="P142" s="1036">
        <f>P140-P141</f>
        <v>8487568</v>
      </c>
      <c r="Q142" s="1037"/>
      <c r="V142" s="1462"/>
      <c r="W142" s="1463"/>
    </row>
    <row r="143" spans="2:23" s="449" customFormat="1" ht="13.9" customHeight="1">
      <c r="B143" s="449" t="s">
        <v>2080</v>
      </c>
      <c r="G143" s="830" t="s">
        <v>2563</v>
      </c>
      <c r="H143" s="1286" t="s">
        <v>4024</v>
      </c>
      <c r="I143" s="1287"/>
      <c r="J143" s="1469"/>
      <c r="K143" s="1470"/>
      <c r="M143" s="1052"/>
      <c r="N143" s="1052"/>
      <c r="P143" s="1469">
        <v>1.3</v>
      </c>
      <c r="Q143" s="1470"/>
      <c r="V143" s="1462"/>
      <c r="W143" s="1463"/>
    </row>
    <row r="144" spans="2:23" s="449" customFormat="1" ht="13.9" customHeight="1">
      <c r="B144" s="449" t="s">
        <v>2942</v>
      </c>
      <c r="J144" s="1036">
        <f>J142*J143</f>
        <v>0</v>
      </c>
      <c r="K144" s="1037"/>
      <c r="M144" s="1036">
        <f>+M142</f>
        <v>667000</v>
      </c>
      <c r="N144" s="1037"/>
      <c r="P144" s="1036">
        <f>P142*P143</f>
        <v>11033838.4</v>
      </c>
      <c r="Q144" s="1037"/>
      <c r="V144" s="1462"/>
      <c r="W144" s="1463"/>
    </row>
    <row r="145" spans="1:23" s="449" customFormat="1" ht="13.9" customHeight="1">
      <c r="B145" s="449" t="s">
        <v>3565</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2"/>
      <c r="W145" s="1463"/>
    </row>
    <row r="146" spans="1:23" s="449" customFormat="1" ht="13.9" customHeight="1">
      <c r="B146" s="449" t="s">
        <v>2930</v>
      </c>
      <c r="J146" s="1036">
        <f>J144*J145</f>
        <v>0</v>
      </c>
      <c r="K146" s="1037"/>
      <c r="M146" s="1036">
        <f>M144*M145</f>
        <v>667000</v>
      </c>
      <c r="N146" s="1037"/>
      <c r="P146" s="1036">
        <f>P144*P145</f>
        <v>11033838.4</v>
      </c>
      <c r="Q146" s="1037"/>
      <c r="V146" s="1462"/>
      <c r="W146" s="1463"/>
    </row>
    <row r="147" spans="1:23" s="449" customFormat="1" ht="13.9" customHeight="1">
      <c r="B147" s="449" t="s">
        <v>2931</v>
      </c>
      <c r="J147" s="1469"/>
      <c r="K147" s="1470"/>
      <c r="M147" s="1469">
        <v>3.2099999999999997E-2</v>
      </c>
      <c r="N147" s="1470"/>
      <c r="P147" s="1469">
        <v>7.4800000000000005E-2</v>
      </c>
      <c r="Q147" s="1470"/>
      <c r="V147" s="1462"/>
      <c r="W147" s="1463"/>
    </row>
    <row r="148" spans="1:23" s="449" customFormat="1" ht="13.9" customHeight="1" thickBot="1">
      <c r="B148" s="449" t="s">
        <v>3566</v>
      </c>
      <c r="J148" s="1046">
        <f>J146*J147</f>
        <v>0</v>
      </c>
      <c r="K148" s="1047"/>
      <c r="M148" s="1046">
        <f>M146*M147</f>
        <v>21410.699999999997</v>
      </c>
      <c r="N148" s="1047"/>
      <c r="P148" s="1046">
        <f>P146*P147</f>
        <v>825331.11232000007</v>
      </c>
      <c r="Q148" s="1047"/>
      <c r="V148" s="1462"/>
      <c r="W148" s="1463"/>
    </row>
    <row r="149" spans="1:23" s="449" customFormat="1" ht="13.9" customHeight="1" thickBot="1">
      <c r="B149" s="452" t="s">
        <v>2004</v>
      </c>
      <c r="J149" s="978">
        <f>J148+M148+P148</f>
        <v>846741.81232000003</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9723986</v>
      </c>
      <c r="K152" s="1062"/>
      <c r="L152" s="1062"/>
      <c r="M152" s="1067" t="s">
        <v>3956</v>
      </c>
      <c r="N152" s="1068"/>
      <c r="O152" s="1068"/>
      <c r="P152" s="1068"/>
      <c r="Q152" s="1068"/>
      <c r="R152" s="1069"/>
      <c r="S152" s="1057"/>
      <c r="T152" s="1058"/>
      <c r="V152" s="1460"/>
      <c r="W152" s="1461"/>
    </row>
    <row r="153" spans="1:23" s="449" customFormat="1" ht="13.9" customHeight="1">
      <c r="B153" s="449" t="s">
        <v>2491</v>
      </c>
      <c r="J153" s="1471">
        <v>9723986</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0</v>
      </c>
      <c r="K154" s="1040"/>
      <c r="L154" s="1040"/>
      <c r="M154" s="1067"/>
      <c r="N154" s="1068"/>
      <c r="O154" s="1068"/>
      <c r="P154" s="1068"/>
      <c r="Q154" s="1068"/>
      <c r="R154" s="1069"/>
      <c r="S154" s="648"/>
      <c r="T154" s="651" t="s">
        <v>322</v>
      </c>
      <c r="V154" s="1462"/>
      <c r="W154" s="1463"/>
    </row>
    <row r="155" spans="1:23" s="449" customFormat="1" ht="13.9" customHeight="1">
      <c r="B155" s="449" t="s">
        <v>3140</v>
      </c>
      <c r="J155" s="1036">
        <f>+J153-J154</f>
        <v>9723986</v>
      </c>
      <c r="K155" s="1040"/>
      <c r="L155" s="1040"/>
      <c r="M155" s="1073" t="s">
        <v>3886</v>
      </c>
      <c r="N155" s="1473"/>
      <c r="O155" s="1473"/>
      <c r="P155" s="1473"/>
      <c r="Q155" s="1473"/>
      <c r="R155" s="1474"/>
      <c r="S155" s="649" t="s">
        <v>2493</v>
      </c>
      <c r="T155" s="1475" t="s">
        <v>3979</v>
      </c>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t="s">
        <v>3979</v>
      </c>
      <c r="V156" s="1462"/>
      <c r="W156" s="1463"/>
    </row>
    <row r="157" spans="1:23" s="449" customFormat="1" ht="13.9" customHeight="1">
      <c r="B157" s="449" t="s">
        <v>1854</v>
      </c>
      <c r="J157" s="1036">
        <f>J155/10</f>
        <v>972398.6</v>
      </c>
      <c r="K157" s="1040"/>
      <c r="L157" s="1037"/>
      <c r="M157" s="472"/>
      <c r="N157" s="888" t="s">
        <v>1855</v>
      </c>
      <c r="O157" s="888"/>
      <c r="Q157" s="888" t="s">
        <v>2654</v>
      </c>
      <c r="R157" s="888"/>
      <c r="V157" s="1462"/>
      <c r="W157" s="1463"/>
    </row>
    <row r="158" spans="1:23" s="449" customFormat="1" ht="13.9" customHeight="1" thickBot="1">
      <c r="B158" s="449" t="s">
        <v>2079</v>
      </c>
      <c r="J158" s="1059">
        <f>N158+Q158</f>
        <v>1.0998900489999999</v>
      </c>
      <c r="K158" s="1060"/>
      <c r="L158" s="1061"/>
      <c r="M158" s="830" t="s">
        <v>1856</v>
      </c>
      <c r="N158" s="1477">
        <v>0.84991508599999999</v>
      </c>
      <c r="O158" s="1478"/>
      <c r="P158" s="830" t="s">
        <v>868</v>
      </c>
      <c r="Q158" s="1477">
        <v>0.24997496299999999</v>
      </c>
      <c r="R158" s="1478"/>
      <c r="V158" s="1462"/>
      <c r="W158" s="1463"/>
    </row>
    <row r="159" spans="1:23" s="449" customFormat="1" ht="13.9" customHeight="1" thickBot="1">
      <c r="B159" s="452" t="s">
        <v>2005</v>
      </c>
      <c r="J159" s="978">
        <f>IF(J158=0,"",J157/J158)</f>
        <v>884087.09660032578</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846741.81232000003</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846741</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2647</v>
      </c>
      <c r="B165" s="685" t="s">
        <v>3669</v>
      </c>
      <c r="D165" s="472"/>
      <c r="E165" s="472"/>
      <c r="F165" s="455"/>
      <c r="J165" s="1042">
        <f>IF(J163="",0,+MIN(J161,J163))</f>
        <v>846741</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2649</v>
      </c>
      <c r="B168" s="481" t="s">
        <v>815</v>
      </c>
      <c r="K168" s="452" t="s">
        <v>765</v>
      </c>
      <c r="L168" s="452" t="s">
        <v>85</v>
      </c>
    </row>
    <row r="169" spans="1:23" ht="146.44999999999999" customHeight="1">
      <c r="A169" s="1483" t="s">
        <v>4091</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3964</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1" priority="4" stopIfTrue="1" operator="greaterThan">
      <formula>$F34</formula>
    </cfRule>
  </conditionalFormatting>
  <conditionalFormatting sqref="J152">
    <cfRule type="cellIs" dxfId="10" priority="5" stopIfTrue="1" operator="lessThan">
      <formula>$J$153</formula>
    </cfRule>
  </conditionalFormatting>
  <conditionalFormatting sqref="J165:L165">
    <cfRule type="cellIs" dxfId="9" priority="6" stopIfTrue="1" operator="greaterThan">
      <formula>$J$161</formula>
    </cfRule>
  </conditionalFormatting>
  <conditionalFormatting sqref="G35">
    <cfRule type="cellIs" dxfId="8" priority="7" stopIfTrue="1" operator="greaterThan">
      <formula>#REF!</formula>
    </cfRule>
  </conditionalFormatting>
  <conditionalFormatting sqref="G33">
    <cfRule type="cellIs" priority="8" stopIfTrue="1" operator="equal">
      <formula>"""Exceeds the limit! Re-check amounts."""</formula>
    </cfRule>
  </conditionalFormatting>
  <conditionalFormatting sqref="J153:L153">
    <cfRule type="cellIs" dxfId="7" priority="9" stopIfTrue="1" operator="greaterThan">
      <formula>$J$152</formula>
    </cfRule>
  </conditionalFormatting>
  <conditionalFormatting sqref="J34:K34 M34:N34 P34:Q34">
    <cfRule type="cellIs" dxfId="6" priority="3" operator="greaterThan">
      <formula>$G$34</formula>
    </cfRule>
  </conditionalFormatting>
  <conditionalFormatting sqref="J35:K35 M35:N35 P35:Q35">
    <cfRule type="cellIs" dxfId="5" priority="2" operator="greaterThan">
      <formula>$G$35</formula>
    </cfRule>
  </conditionalFormatting>
  <conditionalFormatting sqref="P35">
    <cfRule type="cellIs" dxfId="4" priority="1"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2012-017 Cherokee Mill Lofts, Calhoun, Gordon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North</v>
      </c>
    </row>
    <row r="4" spans="1:20" s="9" customFormat="1"/>
    <row r="5" spans="1:20" s="9" customFormat="1">
      <c r="A5" s="16" t="s">
        <v>873</v>
      </c>
      <c r="B5" s="16" t="s">
        <v>3135</v>
      </c>
      <c r="F5" s="9" t="s">
        <v>3531</v>
      </c>
      <c r="I5" s="1487" t="s">
        <v>4022</v>
      </c>
      <c r="J5" s="1488"/>
      <c r="K5" s="1488"/>
      <c r="L5" s="1488"/>
      <c r="M5" s="1489"/>
    </row>
    <row r="6" spans="1:20" s="9" customFormat="1" ht="13.15" customHeight="1">
      <c r="A6" s="16"/>
      <c r="F6" s="9" t="s">
        <v>895</v>
      </c>
      <c r="H6" s="31"/>
      <c r="I6" s="1490">
        <v>40695</v>
      </c>
      <c r="J6" s="1491"/>
      <c r="K6" s="74" t="s">
        <v>776</v>
      </c>
      <c r="L6" s="1492" t="s">
        <v>3644</v>
      </c>
      <c r="M6" s="1489"/>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3" t="s">
        <v>4043</v>
      </c>
      <c r="E10" s="1494"/>
      <c r="F10" s="1495" t="s">
        <v>612</v>
      </c>
      <c r="G10" s="1495"/>
      <c r="H10" s="343"/>
      <c r="I10" s="1496"/>
      <c r="J10" s="1496">
        <v>11</v>
      </c>
      <c r="K10" s="1496">
        <v>13</v>
      </c>
      <c r="L10" s="1496">
        <v>19</v>
      </c>
      <c r="M10" s="1496"/>
    </row>
    <row r="11" spans="1:20" s="9" customFormat="1">
      <c r="B11" s="344" t="s">
        <v>644</v>
      </c>
      <c r="C11" s="345"/>
      <c r="D11" s="344" t="s">
        <v>2204</v>
      </c>
      <c r="E11" s="345"/>
      <c r="F11" s="1497" t="s">
        <v>612</v>
      </c>
      <c r="G11" s="1497"/>
      <c r="H11" s="346"/>
      <c r="I11" s="1498"/>
      <c r="J11" s="1498">
        <v>23</v>
      </c>
      <c r="K11" s="1498">
        <v>29</v>
      </c>
      <c r="L11" s="1499">
        <v>36</v>
      </c>
      <c r="M11" s="1499"/>
    </row>
    <row r="12" spans="1:20" s="9" customFormat="1">
      <c r="B12" s="344" t="s">
        <v>2205</v>
      </c>
      <c r="C12" s="345"/>
      <c r="D12" s="1500" t="s">
        <v>2204</v>
      </c>
      <c r="E12" s="1501"/>
      <c r="F12" s="1497" t="s">
        <v>612</v>
      </c>
      <c r="G12" s="1497"/>
      <c r="H12" s="346"/>
      <c r="I12" s="1498"/>
      <c r="J12" s="1498">
        <v>9</v>
      </c>
      <c r="K12" s="1498">
        <v>11</v>
      </c>
      <c r="L12" s="1499">
        <v>14</v>
      </c>
      <c r="M12" s="1499"/>
    </row>
    <row r="13" spans="1:20" s="9" customFormat="1">
      <c r="B13" s="344" t="s">
        <v>2206</v>
      </c>
      <c r="C13" s="345"/>
      <c r="D13" s="1500" t="s">
        <v>2204</v>
      </c>
      <c r="E13" s="1501"/>
      <c r="F13" s="1497" t="s">
        <v>612</v>
      </c>
      <c r="G13" s="1497"/>
      <c r="H13" s="346"/>
      <c r="I13" s="1498"/>
      <c r="J13" s="1498">
        <v>28</v>
      </c>
      <c r="K13" s="1498">
        <v>35</v>
      </c>
      <c r="L13" s="1499">
        <v>43</v>
      </c>
      <c r="M13" s="1499"/>
    </row>
    <row r="14" spans="1:20" s="9" customFormat="1">
      <c r="B14" s="344" t="s">
        <v>2207</v>
      </c>
      <c r="C14" s="345"/>
      <c r="D14" s="344" t="s">
        <v>2204</v>
      </c>
      <c r="E14" s="347"/>
      <c r="F14" s="1497" t="s">
        <v>612</v>
      </c>
      <c r="G14" s="1497"/>
      <c r="H14" s="346"/>
      <c r="I14" s="1498"/>
      <c r="J14" s="1498">
        <v>26</v>
      </c>
      <c r="K14" s="1498">
        <v>33</v>
      </c>
      <c r="L14" s="1499">
        <v>40</v>
      </c>
      <c r="M14" s="1499"/>
    </row>
    <row r="15" spans="1:20" s="9" customFormat="1">
      <c r="B15" s="344" t="s">
        <v>1938</v>
      </c>
      <c r="C15" s="345"/>
      <c r="D15" s="344" t="s">
        <v>3134</v>
      </c>
      <c r="E15" s="1502" t="s">
        <v>3979</v>
      </c>
      <c r="F15" s="1497"/>
      <c r="G15" s="1497" t="s">
        <v>612</v>
      </c>
      <c r="H15" s="346"/>
      <c r="I15" s="1498"/>
      <c r="J15" s="1498"/>
      <c r="K15" s="1498"/>
      <c r="L15" s="1499"/>
      <c r="M15" s="1499"/>
    </row>
    <row r="16" spans="1:20" s="9" customFormat="1">
      <c r="B16" s="348" t="s">
        <v>2722</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97</v>
      </c>
      <c r="K17" s="847">
        <f>SUM(K10:K16)</f>
        <v>121</v>
      </c>
      <c r="L17" s="847">
        <f>SUM(L10:L16)</f>
        <v>152</v>
      </c>
      <c r="M17" s="847">
        <f>SUM(M10:M16)</f>
        <v>0</v>
      </c>
    </row>
    <row r="18" spans="1:19" s="9" customFormat="1" ht="11.25" customHeight="1">
      <c r="M18" s="31"/>
      <c r="N18" s="31"/>
      <c r="O18" s="31"/>
      <c r="P18" s="31"/>
      <c r="Q18" s="31"/>
      <c r="R18" s="31"/>
      <c r="S18" s="31"/>
    </row>
    <row r="19" spans="1:19" s="9" customFormat="1">
      <c r="A19" s="16" t="s">
        <v>1136</v>
      </c>
      <c r="B19" s="16" t="s">
        <v>3136</v>
      </c>
      <c r="F19" s="9" t="s">
        <v>3531</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3" t="s">
        <v>2683</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0" t="s">
        <v>2683</v>
      </c>
      <c r="E26" s="1501"/>
      <c r="F26" s="1497"/>
      <c r="G26" s="1497"/>
      <c r="H26" s="346"/>
      <c r="I26" s="1498"/>
      <c r="J26" s="1498"/>
      <c r="K26" s="1498"/>
      <c r="L26" s="1499"/>
      <c r="M26" s="1499"/>
    </row>
    <row r="27" spans="1:19" s="9" customFormat="1">
      <c r="B27" s="344" t="s">
        <v>2206</v>
      </c>
      <c r="C27" s="345"/>
      <c r="D27" s="1500" t="s">
        <v>2683</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3134</v>
      </c>
      <c r="E29" s="1502" t="s">
        <v>240</v>
      </c>
      <c r="F29" s="1497"/>
      <c r="G29" s="1497"/>
      <c r="H29" s="346"/>
      <c r="I29" s="1498"/>
      <c r="J29" s="1498"/>
      <c r="K29" s="1498"/>
      <c r="L29" s="1499"/>
      <c r="M29" s="1499"/>
    </row>
    <row r="30" spans="1:19" s="9" customFormat="1">
      <c r="B30" s="348" t="s">
        <v>2722</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6" t="s">
        <v>4038</v>
      </c>
      <c r="C36" s="1507"/>
      <c r="D36" s="1507"/>
      <c r="E36" s="1507"/>
      <c r="F36" s="1507"/>
      <c r="G36" s="1507"/>
      <c r="H36" s="1507"/>
      <c r="I36" s="1507"/>
      <c r="J36" s="1507"/>
      <c r="K36" s="1507"/>
      <c r="L36" s="1507"/>
      <c r="M36" s="1508"/>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09"/>
      <c r="C39" s="1510"/>
      <c r="D39" s="1510"/>
      <c r="E39" s="1510"/>
      <c r="F39" s="1510"/>
      <c r="G39" s="1510"/>
      <c r="H39" s="1510"/>
      <c r="I39" s="1510"/>
      <c r="J39" s="1510"/>
      <c r="K39" s="1510"/>
      <c r="L39" s="1510"/>
      <c r="M39" s="1511"/>
      <c r="N39" s="31"/>
      <c r="O39" s="886"/>
      <c r="P39" s="886"/>
      <c r="Q39" s="886"/>
      <c r="R39" s="886"/>
      <c r="S39" s="886"/>
    </row>
  </sheetData>
  <sheetProtection password="BEC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2012-06-13T23:57:50Z</cp:lastPrinted>
  <dcterms:created xsi:type="dcterms:W3CDTF">2005-09-15T20:51:37Z</dcterms:created>
  <dcterms:modified xsi:type="dcterms:W3CDTF">2012-08-02T20:27:35Z</dcterms:modified>
</cp:coreProperties>
</file>